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MARTINA\DOC\FIN.IZVJEŠTAJI\REBALANS\REBALANS 2024\1\"/>
    </mc:Choice>
  </mc:AlternateContent>
  <xr:revisionPtr revIDLastSave="0" documentId="13_ncr:1_{7D9204C1-AA69-475E-AAAC-74D5018E06A8}" xr6:coauthVersionLast="47" xr6:coauthVersionMax="47" xr10:uidLastSave="{00000000-0000-0000-0000-000000000000}"/>
  <bookViews>
    <workbookView xWindow="-120" yWindow="-120" windowWidth="29040" windowHeight="15840" tabRatio="865" activeTab="5" xr2:uid="{00000000-000D-0000-FFFF-FFFF00000000}"/>
  </bookViews>
  <sheets>
    <sheet name="SAŽETAK" sheetId="1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POSEBNI DIO" sheetId="7" r:id="rId6"/>
    <sheet name=" Račun prihoda i rashoda (2)" sheetId="10" state="hidden" r:id="rId7"/>
    <sheet name="List2" sheetId="2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7" l="1"/>
  <c r="G25" i="3"/>
  <c r="G54" i="7"/>
  <c r="E26" i="8"/>
  <c r="G59" i="7"/>
  <c r="G58" i="7" s="1"/>
  <c r="F59" i="7"/>
  <c r="E59" i="7"/>
  <c r="G97" i="7"/>
  <c r="G26" i="3" s="1"/>
  <c r="G21" i="7" l="1"/>
  <c r="G32" i="3" s="1"/>
  <c r="G92" i="7"/>
  <c r="G73" i="7"/>
  <c r="G71" i="7"/>
  <c r="G70" i="7" l="1"/>
  <c r="G84" i="7"/>
  <c r="G83" i="7" s="1"/>
  <c r="G67" i="7"/>
  <c r="G66" i="7" s="1"/>
  <c r="G63" i="7"/>
  <c r="G62" i="7" s="1"/>
  <c r="F70" i="7"/>
  <c r="G76" i="7"/>
  <c r="F76" i="7"/>
  <c r="F66" i="7"/>
  <c r="F62" i="7"/>
  <c r="E72" i="7"/>
  <c r="E71" i="7" s="1"/>
  <c r="E70" i="7" s="1"/>
  <c r="H70" i="7"/>
  <c r="E69" i="7"/>
  <c r="E68" i="7"/>
  <c r="E65" i="7"/>
  <c r="E64" i="7"/>
  <c r="G30" i="7"/>
  <c r="G12" i="7"/>
  <c r="G10" i="7" s="1"/>
  <c r="H12" i="7"/>
  <c r="F12" i="7"/>
  <c r="H26" i="3"/>
  <c r="F26" i="3"/>
  <c r="H25" i="3"/>
  <c r="G27" i="3"/>
  <c r="H27" i="3"/>
  <c r="G28" i="3"/>
  <c r="H28" i="3"/>
  <c r="H30" i="3"/>
  <c r="H29" i="3" s="1"/>
  <c r="G31" i="3"/>
  <c r="H32" i="3"/>
  <c r="H31" i="3" s="1"/>
  <c r="F25" i="3"/>
  <c r="F27" i="3"/>
  <c r="F28" i="3"/>
  <c r="F30" i="3"/>
  <c r="F29" i="3" s="1"/>
  <c r="F31" i="3"/>
  <c r="E17" i="3"/>
  <c r="E32" i="3"/>
  <c r="E31" i="3" s="1"/>
  <c r="D31" i="3"/>
  <c r="D23" i="8"/>
  <c r="F61" i="7" l="1"/>
  <c r="F58" i="7" s="1"/>
  <c r="G61" i="7"/>
  <c r="E67" i="7"/>
  <c r="E63" i="7"/>
  <c r="H24" i="3"/>
  <c r="G24" i="3"/>
  <c r="I12" i="1" s="1"/>
  <c r="F24" i="3"/>
  <c r="H96" i="7"/>
  <c r="G96" i="7"/>
  <c r="F96" i="7"/>
  <c r="E96" i="7"/>
  <c r="F91" i="7"/>
  <c r="G91" i="7"/>
  <c r="E47" i="8" s="1"/>
  <c r="E25" i="8" s="1"/>
  <c r="G14" i="3" s="1"/>
  <c r="H91" i="7"/>
  <c r="E13" i="3"/>
  <c r="E11" i="3"/>
  <c r="G40" i="7"/>
  <c r="G39" i="7" s="1"/>
  <c r="H40" i="7"/>
  <c r="H39" i="7" s="1"/>
  <c r="C18" i="8"/>
  <c r="C16" i="8" s="1"/>
  <c r="B18" i="8"/>
  <c r="B16" i="8" s="1"/>
  <c r="G89" i="7"/>
  <c r="H89" i="7"/>
  <c r="F23" i="8"/>
  <c r="G87" i="7"/>
  <c r="H87" i="7"/>
  <c r="F89" i="7"/>
  <c r="F24" i="7"/>
  <c r="F23" i="7" s="1"/>
  <c r="G24" i="7"/>
  <c r="G23" i="7" s="1"/>
  <c r="H24" i="7"/>
  <c r="H23" i="7" s="1"/>
  <c r="F16" i="7"/>
  <c r="G16" i="7"/>
  <c r="H16" i="7"/>
  <c r="F10" i="7"/>
  <c r="H10" i="7"/>
  <c r="F11" i="7"/>
  <c r="G11" i="7"/>
  <c r="H11" i="7"/>
  <c r="F16" i="3"/>
  <c r="H16" i="3"/>
  <c r="E16" i="3"/>
  <c r="H13" i="1"/>
  <c r="J13" i="1"/>
  <c r="E30" i="3"/>
  <c r="E29" i="3" s="1"/>
  <c r="G13" i="1" s="1"/>
  <c r="E26" i="3"/>
  <c r="E25" i="3"/>
  <c r="E28" i="3"/>
  <c r="E27" i="3"/>
  <c r="D28" i="3"/>
  <c r="F102" i="7"/>
  <c r="F101" i="7" s="1"/>
  <c r="G102" i="7"/>
  <c r="G101" i="7" s="1"/>
  <c r="E44" i="8" s="1"/>
  <c r="H102" i="7"/>
  <c r="H101" i="7" s="1"/>
  <c r="F44" i="8" s="1"/>
  <c r="C46" i="8"/>
  <c r="C45" i="8" s="1"/>
  <c r="F98" i="7"/>
  <c r="G98" i="7"/>
  <c r="H98" i="7"/>
  <c r="C42" i="8"/>
  <c r="F44" i="7"/>
  <c r="F43" i="7" s="1"/>
  <c r="G44" i="7"/>
  <c r="G43" i="7" s="1"/>
  <c r="H44" i="7"/>
  <c r="H43" i="7" s="1"/>
  <c r="E44" i="7"/>
  <c r="E43" i="7" s="1"/>
  <c r="F54" i="7"/>
  <c r="F53" i="7" s="1"/>
  <c r="D42" i="8" s="1"/>
  <c r="D20" i="8" s="1"/>
  <c r="H54" i="7"/>
  <c r="E54" i="7"/>
  <c r="E53" i="7" s="1"/>
  <c r="H53" i="7"/>
  <c r="G53" i="7"/>
  <c r="F47" i="7"/>
  <c r="G47" i="7"/>
  <c r="H47" i="7"/>
  <c r="F51" i="7"/>
  <c r="G51" i="7"/>
  <c r="H51" i="7"/>
  <c r="F87" i="7"/>
  <c r="E92" i="7"/>
  <c r="E91" i="7" s="1"/>
  <c r="C43" i="8"/>
  <c r="D43" i="8"/>
  <c r="E43" i="8"/>
  <c r="H76" i="7"/>
  <c r="F43" i="8" s="1"/>
  <c r="E78" i="7"/>
  <c r="E79" i="7"/>
  <c r="F36" i="7"/>
  <c r="G36" i="7"/>
  <c r="H36" i="7"/>
  <c r="F32" i="7"/>
  <c r="G32" i="7"/>
  <c r="H32" i="7"/>
  <c r="C41" i="8"/>
  <c r="F29" i="7"/>
  <c r="D41" i="8" s="1"/>
  <c r="D19" i="8" s="1"/>
  <c r="G29" i="7"/>
  <c r="H29" i="7"/>
  <c r="G19" i="7"/>
  <c r="G18" i="7" s="1"/>
  <c r="H19" i="7"/>
  <c r="H18" i="7" s="1"/>
  <c r="E18" i="7"/>
  <c r="F19" i="7"/>
  <c r="F18" i="7" s="1"/>
  <c r="G27" i="7"/>
  <c r="G26" i="7" s="1"/>
  <c r="E40" i="8" s="1"/>
  <c r="H27" i="7"/>
  <c r="H26" i="7" s="1"/>
  <c r="F40" i="8" s="1"/>
  <c r="F27" i="7"/>
  <c r="C40" i="8"/>
  <c r="F26" i="7"/>
  <c r="D40" i="8" s="1"/>
  <c r="E26" i="7"/>
  <c r="B40" i="8" s="1"/>
  <c r="C11" i="8"/>
  <c r="C14" i="8"/>
  <c r="C23" i="8"/>
  <c r="D16" i="3"/>
  <c r="D11" i="3"/>
  <c r="E37" i="8" l="1"/>
  <c r="E36" i="8" s="1"/>
  <c r="E42" i="8"/>
  <c r="G15" i="7"/>
  <c r="G14" i="7"/>
  <c r="G86" i="7"/>
  <c r="G95" i="7"/>
  <c r="G94" i="7" s="1"/>
  <c r="G30" i="3"/>
  <c r="G29" i="3" s="1"/>
  <c r="I13" i="1" s="1"/>
  <c r="I11" i="1" s="1"/>
  <c r="E34" i="8"/>
  <c r="G46" i="7"/>
  <c r="G35" i="7" s="1"/>
  <c r="F46" i="7"/>
  <c r="F86" i="7"/>
  <c r="E62" i="7"/>
  <c r="E61" i="7" s="1"/>
  <c r="E58" i="7" s="1"/>
  <c r="F82" i="7"/>
  <c r="D37" i="8"/>
  <c r="D36" i="8" s="1"/>
  <c r="F37" i="8"/>
  <c r="F36" i="8" s="1"/>
  <c r="H15" i="7"/>
  <c r="F34" i="8" s="1"/>
  <c r="F12" i="8" s="1"/>
  <c r="H14" i="7"/>
  <c r="F41" i="8"/>
  <c r="F19" i="8" s="1"/>
  <c r="E20" i="8"/>
  <c r="E41" i="8"/>
  <c r="E19" i="8" s="1"/>
  <c r="D39" i="8"/>
  <c r="F42" i="8"/>
  <c r="F20" i="8" s="1"/>
  <c r="H95" i="7"/>
  <c r="H14" i="3" s="1"/>
  <c r="F95" i="7"/>
  <c r="F100" i="7"/>
  <c r="D44" i="8"/>
  <c r="D22" i="8" s="1"/>
  <c r="E12" i="8"/>
  <c r="F15" i="7"/>
  <c r="D34" i="8" s="1"/>
  <c r="F14" i="7"/>
  <c r="E46" i="8"/>
  <c r="E45" i="8" s="1"/>
  <c r="C34" i="8"/>
  <c r="C44" i="8"/>
  <c r="H86" i="7"/>
  <c r="E10" i="3"/>
  <c r="E18" i="3" s="1"/>
  <c r="H100" i="7"/>
  <c r="F22" i="8"/>
  <c r="G100" i="7"/>
  <c r="E22" i="8"/>
  <c r="E24" i="3"/>
  <c r="C10" i="8"/>
  <c r="C37" i="8"/>
  <c r="C36" i="8" s="1"/>
  <c r="F40" i="7"/>
  <c r="H46" i="7"/>
  <c r="H35" i="7" s="1"/>
  <c r="E77" i="7"/>
  <c r="E76" i="7" s="1"/>
  <c r="E75" i="7" s="1"/>
  <c r="D13" i="3"/>
  <c r="D12" i="3"/>
  <c r="E104" i="7"/>
  <c r="E103" i="7"/>
  <c r="E88" i="7"/>
  <c r="E87" i="7" s="1"/>
  <c r="E99" i="7"/>
  <c r="E98" i="7" s="1"/>
  <c r="E95" i="7" s="1"/>
  <c r="E52" i="7"/>
  <c r="E51" i="7" s="1"/>
  <c r="E49" i="7"/>
  <c r="E48" i="7"/>
  <c r="E36" i="7"/>
  <c r="E42" i="7"/>
  <c r="D27" i="3" s="1"/>
  <c r="E41" i="7"/>
  <c r="E34" i="7"/>
  <c r="E33" i="7" s="1"/>
  <c r="E32" i="7" s="1"/>
  <c r="B42" i="8" s="1"/>
  <c r="E31" i="7"/>
  <c r="E30" i="7" s="1"/>
  <c r="E29" i="7" s="1"/>
  <c r="B41" i="8" s="1"/>
  <c r="E25" i="7"/>
  <c r="E24" i="7" s="1"/>
  <c r="E23" i="7" s="1"/>
  <c r="B37" i="8" s="1"/>
  <c r="B36" i="8" s="1"/>
  <c r="E17" i="7"/>
  <c r="E16" i="7" s="1"/>
  <c r="E13" i="7"/>
  <c r="F13" i="1"/>
  <c r="F12" i="1"/>
  <c r="F9" i="1"/>
  <c r="F8" i="1" s="1"/>
  <c r="J21" i="1"/>
  <c r="I21" i="1"/>
  <c r="H21" i="1"/>
  <c r="G21" i="1"/>
  <c r="F21" i="1"/>
  <c r="G33" i="3" l="1"/>
  <c r="F11" i="1"/>
  <c r="F14" i="1" s="1"/>
  <c r="F22" i="1" s="1"/>
  <c r="F28" i="1" s="1"/>
  <c r="E24" i="8"/>
  <c r="F46" i="8"/>
  <c r="F45" i="8" s="1"/>
  <c r="D15" i="8"/>
  <c r="D14" i="8" s="1"/>
  <c r="H94" i="7"/>
  <c r="F35" i="8"/>
  <c r="F33" i="8" s="1"/>
  <c r="H82" i="7"/>
  <c r="F94" i="7"/>
  <c r="F14" i="3"/>
  <c r="D46" i="8"/>
  <c r="D45" i="8" s="1"/>
  <c r="C35" i="8"/>
  <c r="C33" i="8" s="1"/>
  <c r="E35" i="8"/>
  <c r="E13" i="8" s="1"/>
  <c r="G13" i="3" s="1"/>
  <c r="G82" i="7"/>
  <c r="G9" i="7" s="1"/>
  <c r="G8" i="7" s="1"/>
  <c r="D12" i="8"/>
  <c r="E33" i="3"/>
  <c r="G12" i="1"/>
  <c r="G11" i="1" s="1"/>
  <c r="F39" i="8"/>
  <c r="F38" i="8" s="1"/>
  <c r="E39" i="8"/>
  <c r="E38" i="8" s="1"/>
  <c r="D17" i="8"/>
  <c r="D38" i="8"/>
  <c r="E15" i="8"/>
  <c r="G12" i="3" s="1"/>
  <c r="C39" i="8"/>
  <c r="C38" i="8" s="1"/>
  <c r="E86" i="7"/>
  <c r="E82" i="7" s="1"/>
  <c r="F15" i="8"/>
  <c r="H33" i="3"/>
  <c r="J12" i="1"/>
  <c r="J11" i="1" s="1"/>
  <c r="F33" i="3"/>
  <c r="H12" i="1"/>
  <c r="H11" i="1" s="1"/>
  <c r="G9" i="1"/>
  <c r="G8" i="1" s="1"/>
  <c r="D10" i="3"/>
  <c r="D18" i="3" s="1"/>
  <c r="F39" i="7"/>
  <c r="E47" i="7"/>
  <c r="E40" i="7"/>
  <c r="E102" i="7"/>
  <c r="E101" i="7" s="1"/>
  <c r="E100" i="7" s="1"/>
  <c r="D25" i="3"/>
  <c r="B43" i="8"/>
  <c r="B46" i="8"/>
  <c r="B45" i="8" s="1"/>
  <c r="E94" i="7"/>
  <c r="E14" i="7"/>
  <c r="B44" i="8"/>
  <c r="E39" i="7"/>
  <c r="E46" i="7"/>
  <c r="B39" i="8" s="1"/>
  <c r="B38" i="8" s="1"/>
  <c r="D30" i="3"/>
  <c r="D29" i="3" s="1"/>
  <c r="E12" i="7"/>
  <c r="E11" i="7" s="1"/>
  <c r="E15" i="7"/>
  <c r="B34" i="8" s="1"/>
  <c r="D26" i="3"/>
  <c r="G17" i="3" l="1"/>
  <c r="E23" i="8"/>
  <c r="G16" i="3"/>
  <c r="F11" i="3"/>
  <c r="D16" i="8"/>
  <c r="C32" i="8"/>
  <c r="E33" i="8"/>
  <c r="E32" i="8" s="1"/>
  <c r="F12" i="3"/>
  <c r="F13" i="8"/>
  <c r="H13" i="3" s="1"/>
  <c r="E11" i="8"/>
  <c r="D35" i="8"/>
  <c r="F35" i="7"/>
  <c r="F9" i="7" s="1"/>
  <c r="F8" i="7" s="1"/>
  <c r="E17" i="8"/>
  <c r="F17" i="8"/>
  <c r="G14" i="1"/>
  <c r="G22" i="1" s="1"/>
  <c r="G28" i="1" s="1"/>
  <c r="E14" i="8"/>
  <c r="B35" i="8"/>
  <c r="B33" i="8" s="1"/>
  <c r="F14" i="8"/>
  <c r="H12" i="3"/>
  <c r="F32" i="8"/>
  <c r="E35" i="7"/>
  <c r="D24" i="3"/>
  <c r="D33" i="3" s="1"/>
  <c r="E27" i="10"/>
  <c r="B14" i="8"/>
  <c r="B11" i="8"/>
  <c r="B23" i="8"/>
  <c r="E16" i="8" l="1"/>
  <c r="G11" i="3"/>
  <c r="E10" i="8"/>
  <c r="F11" i="8"/>
  <c r="D13" i="8"/>
  <c r="D33" i="8"/>
  <c r="D32" i="8" s="1"/>
  <c r="H11" i="3"/>
  <c r="H10" i="3" s="1"/>
  <c r="F16" i="8"/>
  <c r="F10" i="8" s="1"/>
  <c r="B32" i="8"/>
  <c r="B10" i="8"/>
  <c r="H9" i="7"/>
  <c r="C12" i="5"/>
  <c r="C11" i="5" s="1"/>
  <c r="C10" i="5" s="1"/>
  <c r="E10" i="7"/>
  <c r="E9" i="7" s="1"/>
  <c r="B12" i="5" s="1"/>
  <c r="B11" i="5" s="1"/>
  <c r="B10" i="5" s="1"/>
  <c r="G10" i="3" l="1"/>
  <c r="I9" i="1" s="1"/>
  <c r="I8" i="1" s="1"/>
  <c r="I14" i="1" s="1"/>
  <c r="I22" i="1" s="1"/>
  <c r="I28" i="1" s="1"/>
  <c r="F13" i="3"/>
  <c r="F10" i="3" s="1"/>
  <c r="D11" i="8"/>
  <c r="D10" i="8" s="1"/>
  <c r="H18" i="3"/>
  <c r="J9" i="1"/>
  <c r="J8" i="1" s="1"/>
  <c r="J14" i="1" s="1"/>
  <c r="J22" i="1" s="1"/>
  <c r="J28" i="1" s="1"/>
  <c r="E12" i="5"/>
  <c r="E11" i="5" s="1"/>
  <c r="E10" i="5" s="1"/>
  <c r="D12" i="5"/>
  <c r="D11" i="5" s="1"/>
  <c r="D10" i="5" s="1"/>
  <c r="F12" i="5"/>
  <c r="F11" i="5" s="1"/>
  <c r="F10" i="5" s="1"/>
  <c r="G18" i="3" l="1"/>
  <c r="F18" i="3"/>
  <c r="H9" i="1"/>
  <c r="H8" i="1" s="1"/>
  <c r="H14" i="1" s="1"/>
  <c r="H22" i="1" s="1"/>
  <c r="H28" i="1" s="1"/>
</calcChain>
</file>

<file path=xl/sharedStrings.xml><?xml version="1.0" encoding="utf-8"?>
<sst xmlns="http://schemas.openxmlformats.org/spreadsheetml/2006/main" count="369" uniqueCount="153">
  <si>
    <t>PRIHODI UKUPNO</t>
  </si>
  <si>
    <t>PRIHODI POSLOVANJA</t>
  </si>
  <si>
    <t>RASHODI UKUPNO</t>
  </si>
  <si>
    <t>RAZLIKA - VIŠAK / MANJAK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</si>
  <si>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</si>
  <si>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</si>
  <si>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</si>
  <si>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</si>
  <si>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</si>
  <si>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</si>
  <si>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</si>
  <si>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</si>
  <si>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</si>
  <si>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</si>
  <si>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</si>
  <si>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</si>
  <si>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</si>
  <si>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</si>
  <si>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</si>
  <si>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</si>
  <si>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</si>
  <si>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</si>
  <si>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</si>
  <si>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</si>
  <si>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</si>
  <si>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</si>
  <si>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</si>
  <si>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</si>
  <si>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</si>
  <si>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</si>
  <si>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</si>
  <si>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</si>
  <si>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</si>
  <si>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</si>
  <si>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</si>
  <si>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</si>
  <si>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</si>
  <si>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</si>
  <si>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</si>
  <si>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EUR</t>
  </si>
  <si>
    <t>PROGRAM 1001</t>
  </si>
  <si>
    <t>Program javnih potreba u školstvu</t>
  </si>
  <si>
    <t>Aktivnost A100007</t>
  </si>
  <si>
    <t>Izvor financiranja 1.1.</t>
  </si>
  <si>
    <t>Izvor financiranja 4.3.1.</t>
  </si>
  <si>
    <t>Prihodi za posebne namjene-PK</t>
  </si>
  <si>
    <t>Financijski rashodi</t>
  </si>
  <si>
    <t>Izvor financiranja 5.2.2.</t>
  </si>
  <si>
    <t>Pomoći-PK</t>
  </si>
  <si>
    <t>Aktivnost A100010</t>
  </si>
  <si>
    <t>Pomoći-Agencija za plaćanja u poljoprivredi, razminiranje</t>
  </si>
  <si>
    <t>Izvor financiranja 5.2.9.</t>
  </si>
  <si>
    <t>Pomoći-Ministarstvo za demografiju,obitelj,mlade i socijalnu</t>
  </si>
  <si>
    <t>Izvor financiranja 5.7.1</t>
  </si>
  <si>
    <t>Pomoći iz gradskih i općinskih proračuna-PK</t>
  </si>
  <si>
    <t>ŠKOLSKA KUHINJA</t>
  </si>
  <si>
    <t>Aktivnost A100014</t>
  </si>
  <si>
    <t>REDOVNI PROGRAM OŠ</t>
  </si>
  <si>
    <t>Izvor financiranja 1.2.</t>
  </si>
  <si>
    <t>Opći prihodi osnovne škole</t>
  </si>
  <si>
    <t>Materijalni rashodi i usluge</t>
  </si>
  <si>
    <t>Izvor financiranja 5.2.3.</t>
  </si>
  <si>
    <t>Aktivnost A100022</t>
  </si>
  <si>
    <t>PROJEKTI I MEĐUNARODNA SURADNJA</t>
  </si>
  <si>
    <t>Pomoći-EU-PK</t>
  </si>
  <si>
    <t>ULAGANJE U OBJEKTE ŠKOLSTVA</t>
  </si>
  <si>
    <t>09 Obrazovanje</t>
  </si>
  <si>
    <t>0912 Osnovnoškolsko obrazovanje</t>
  </si>
  <si>
    <t>Kapitalni projekt K100002</t>
  </si>
  <si>
    <t>Osiguravanje pomoćnika u nastavi učenicima s teškoćama</t>
  </si>
  <si>
    <t>Izvor financiranja 5.2.5.</t>
  </si>
  <si>
    <t>Pomoći-Ministarstvo znanosti i obrazovanja</t>
  </si>
  <si>
    <t>Kapitalni projekt K100007</t>
  </si>
  <si>
    <t>ULAGANJE U OBJEKTE ŠKOLSTVA - POTRES</t>
  </si>
  <si>
    <t>Izvor financiranja 6.2.1</t>
  </si>
  <si>
    <t>Kapitalne donacija-PK</t>
  </si>
  <si>
    <t>POMOĆI -PK(mzo,mk)</t>
  </si>
  <si>
    <t>POMOĆI IZ GR.PR.-PK</t>
  </si>
  <si>
    <t>Prihodi od upravnih i administrativnih pristojbi,pristojbi po posebnim propisima i naknada</t>
  </si>
  <si>
    <t>OPĆI PRIHODI I PRIMICI</t>
  </si>
  <si>
    <t>UKUPNO PRIHOD</t>
  </si>
  <si>
    <t>Projekti i međunarodna suradnja</t>
  </si>
  <si>
    <t>Izvor financiranja 5.2.14.</t>
  </si>
  <si>
    <t>DEC - Prihodi iz nadležnog proračuna i od HZZO-a temeljem ugovornih obveza</t>
  </si>
  <si>
    <t>OPĆI PRIHODI OSNOVNE ŠKOLE</t>
  </si>
  <si>
    <t>POMOĆI- MIISTARSTVO ZA DEMOGRAFIJU, OBITELJ, MLADE I SOCIJALNU</t>
  </si>
  <si>
    <t>Višak/manjak prihoda</t>
  </si>
  <si>
    <t>KAPITALNE DONACIJE -PK</t>
  </si>
  <si>
    <t>UKUPNO RASHOD</t>
  </si>
  <si>
    <t>Izvršenje 2022.</t>
  </si>
  <si>
    <t>Plan 2023.</t>
  </si>
  <si>
    <t>Plan za 2024.</t>
  </si>
  <si>
    <t>Projekcija 
za 2026.</t>
  </si>
  <si>
    <t>FINANCIJSKI PLAN PRORAČUNSKOG KORISNIKA JEDINICE LOKALNE I PODRUČNE (REGIONALNE) SAMOUPRAVE 
ZA 2024. I PROJEKCIJA ZA 2025. I 2026. GODINU</t>
  </si>
  <si>
    <t xml:space="preserve">Projekcija 
za 2026. </t>
  </si>
  <si>
    <t>PRIHODI POSLOVANJA PREMA IZVORIMA FINANCIRANJA</t>
  </si>
  <si>
    <t>Brojčana oznaka i naziv</t>
  </si>
  <si>
    <t>Projekcija proračuna
za 2026.</t>
  </si>
  <si>
    <t>1 Opći prihodi i primici</t>
  </si>
  <si>
    <t xml:space="preserve">   11 Opći prihodi i primici</t>
  </si>
  <si>
    <t>RASHODI POSLOVANJA PREMA IZVORIMA FINANCIRANJA</t>
  </si>
  <si>
    <t>6 Donacije</t>
  </si>
  <si>
    <t>5 Pomoći</t>
  </si>
  <si>
    <t>4 Prihodi za posebne namjene</t>
  </si>
  <si>
    <t xml:space="preserve">   12 Opći prihodi osnovne škole</t>
  </si>
  <si>
    <t>RAZDJEL 002</t>
  </si>
  <si>
    <t>GLAVA 00202</t>
  </si>
  <si>
    <t>ŠKOLSTVO</t>
  </si>
  <si>
    <t>PODGLAVA 11574</t>
  </si>
  <si>
    <t>I. OSNOVNA ŠKOLA PETRINJA</t>
  </si>
  <si>
    <t>Izvršenje 2022.*</t>
  </si>
  <si>
    <t>8 PRIMICI OD FINANCIJSKE IMOVINE I ZADUŽIVANJA</t>
  </si>
  <si>
    <t>5 IZDACI ZA FINANCIJSKU IMOVINU I OTPLATE ZAJMOVA</t>
  </si>
  <si>
    <t>6 PRIHODI POSLOVANJA</t>
  </si>
  <si>
    <t>7 PRIHODI OD PRODAJE NEFINANCIJSKE IMOVINE</t>
  </si>
  <si>
    <t>3 RASHODI  POSLOVANJA</t>
  </si>
  <si>
    <t>4 RASHODI ZA NABAVU NEFINANCIJSKE IMOVINE</t>
  </si>
  <si>
    <t xml:space="preserve">   431 Prihodi za posebne namjene</t>
  </si>
  <si>
    <t xml:space="preserve">   522 Pomoći -PK(mzo,mk)</t>
  </si>
  <si>
    <t xml:space="preserve">   529 Pomoći-Ministarstvo za demografiju, obitelj, mlade…</t>
  </si>
  <si>
    <t xml:space="preserve">   571 Pomoći iz grad.pror.-PK</t>
  </si>
  <si>
    <t xml:space="preserve">   523 Projekti i međunarodna suradnja</t>
  </si>
  <si>
    <t xml:space="preserve">   525 Pomoći-Ministarstvo znanosti i obrazovanja</t>
  </si>
  <si>
    <t xml:space="preserve">   431 Prihodi za posebne namjene-PK</t>
  </si>
  <si>
    <t xml:space="preserve">   621 Kapitalne donacije -PK</t>
  </si>
  <si>
    <t>Višak</t>
  </si>
  <si>
    <t xml:space="preserve">   5214 Pomoći Agencija za plaćanje u poljoprivredi</t>
  </si>
  <si>
    <t>Prihodi od prodaje proizvoda i robe te pruženih uslugaa i prihodi od donacija</t>
  </si>
  <si>
    <t>Manjak</t>
  </si>
  <si>
    <t>Rezultat poslovanja</t>
  </si>
  <si>
    <t>Školska natjecanja i smotra</t>
  </si>
  <si>
    <t>Naknade građanima i kućanstvima na temelju osiguranja i druge naknade</t>
  </si>
  <si>
    <t>Voditeljica računovodstva:</t>
  </si>
  <si>
    <t>Martina Čekić</t>
  </si>
  <si>
    <t>Ravnatelj:</t>
  </si>
  <si>
    <t>Robert Groza, prof.</t>
  </si>
  <si>
    <t>I.izmjene i dopune Plana</t>
  </si>
  <si>
    <t>UPRAVNI ODJEL ZA OBRAZOVANJE, KULTURU, ŠPORT, MLADE I CIVILNO DRUŠTVO</t>
  </si>
  <si>
    <t>PRODUŽENI BORAVAK</t>
  </si>
  <si>
    <t>Aktivnost A100015</t>
  </si>
  <si>
    <t>Izvor financiranja 6.1.</t>
  </si>
  <si>
    <t>Tekuće donacije</t>
  </si>
  <si>
    <t xml:space="preserve">   61 Tekuće donacije </t>
  </si>
  <si>
    <t xml:space="preserve">   61 Tekuće donacije</t>
  </si>
  <si>
    <t>Kazne, upravne mjere i ostali prihodi</t>
  </si>
  <si>
    <t>C) PRENESENI VIŠAK ILI PRENESENI MANJAK I VIŠEGODIŠNJI PLAN URAVNOTEŽENJA</t>
  </si>
  <si>
    <t>UKUPAN DONOS VIŠKA IZ PRETHODNE(IH) GODINE***</t>
  </si>
  <si>
    <t>VIŠAK IZ PRETHODNE(IH) GODINE KOJI ĆE SE RASPOREDITI</t>
  </si>
  <si>
    <t>Izvor financiranja 6.1.1</t>
  </si>
  <si>
    <t>Tekuće donacija-PK</t>
  </si>
  <si>
    <t xml:space="preserve">   611 Tekuće donacije  - PK</t>
  </si>
  <si>
    <t>FINANCIJSKI PLAN PRORAČUNSKOG KORISNIKA JEDINICE LOKALNE I PODRUČNE (REGIONALNE) SAMOUPRAVE - I. izmjene i dopune plana za 2024. godinu</t>
  </si>
  <si>
    <t>Aktivnost T100004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</si>
</sst>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i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i/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2CC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</cellStyleXfs>
  <cellXfs count="329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right"/>
    </xf>
    <xf numFmtId="0" fontId="6" fillId="0" borderId="0" xfId="0" applyFont="1" applyAlignment="1">
      <alignment vertical="center" wrapText="1"/>
    </xf>
    <xf numFmtId="0" fontId="1" fillId="0" borderId="3" xfId="0" applyFont="1" applyBorder="1"/>
    <xf numFmtId="0" fontId="0" fillId="0" borderId="3" xfId="0" applyBorder="1"/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3" fontId="6" fillId="5" borderId="4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3" fontId="18" fillId="2" borderId="3" xfId="0" applyNumberFormat="1" applyFont="1" applyFill="1" applyBorder="1" applyAlignment="1">
      <alignment horizontal="right"/>
    </xf>
    <xf numFmtId="3" fontId="18" fillId="2" borderId="3" xfId="0" applyNumberFormat="1" applyFont="1" applyFill="1" applyBorder="1" applyAlignment="1" applyProtection="1">
      <alignment horizontal="right" wrapText="1"/>
    </xf>
    <xf numFmtId="3" fontId="18" fillId="2" borderId="4" xfId="0" applyNumberFormat="1" applyFont="1" applyFill="1" applyBorder="1" applyAlignment="1">
      <alignment horizontal="right"/>
    </xf>
    <xf numFmtId="0" fontId="16" fillId="3" borderId="4" xfId="0" applyNumberFormat="1" applyFont="1" applyFill="1" applyBorder="1" applyAlignment="1" applyProtection="1">
      <alignment horizontal="left" vertical="center" wrapText="1"/>
    </xf>
    <xf numFmtId="0" fontId="3" fillId="3" borderId="4" xfId="0" applyNumberFormat="1" applyFont="1" applyFill="1" applyBorder="1" applyAlignment="1" applyProtection="1">
      <alignment horizontal="left" vertical="center" wrapText="1"/>
    </xf>
    <xf numFmtId="0" fontId="0" fillId="0" borderId="0" xfId="0"/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3" fontId="6" fillId="2" borderId="4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>
      <alignment horizontal="right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3" fontId="18" fillId="2" borderId="4" xfId="0" applyNumberFormat="1" applyFont="1" applyFill="1" applyBorder="1" applyAlignment="1">
      <alignment horizontal="right"/>
    </xf>
    <xf numFmtId="3" fontId="3" fillId="3" borderId="3" xfId="0" applyNumberFormat="1" applyFont="1" applyFill="1" applyBorder="1" applyAlignment="1" applyProtection="1">
      <alignment horizontal="right" wrapText="1"/>
    </xf>
    <xf numFmtId="0" fontId="3" fillId="3" borderId="4" xfId="0" applyNumberFormat="1" applyFont="1" applyFill="1" applyBorder="1" applyAlignment="1" applyProtection="1">
      <alignment horizontal="left" vertical="center" wrapText="1"/>
    </xf>
    <xf numFmtId="3" fontId="17" fillId="0" borderId="3" xfId="0" applyNumberFormat="1" applyFont="1" applyBorder="1"/>
    <xf numFmtId="0" fontId="9" fillId="2" borderId="0" xfId="0" quotePrefix="1" applyFont="1" applyFill="1" applyBorder="1" applyAlignment="1">
      <alignment horizontal="left" vertical="center"/>
    </xf>
    <xf numFmtId="3" fontId="0" fillId="0" borderId="0" xfId="0" applyNumberFormat="1"/>
    <xf numFmtId="3" fontId="3" fillId="2" borderId="0" xfId="0" applyNumberFormat="1" applyFont="1" applyFill="1" applyBorder="1" applyAlignment="1">
      <alignment horizontal="right" wrapText="1"/>
    </xf>
    <xf numFmtId="3" fontId="6" fillId="5" borderId="3" xfId="0" applyNumberFormat="1" applyFont="1" applyFill="1" applyBorder="1" applyAlignment="1" applyProtection="1">
      <alignment horizontal="right" wrapText="1"/>
    </xf>
    <xf numFmtId="0" fontId="0" fillId="0" borderId="0" xfId="0"/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0" fillId="0" borderId="0" xfId="0"/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3" fontId="6" fillId="5" borderId="4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3" fillId="3" borderId="4" xfId="0" applyNumberFormat="1" applyFont="1" applyFill="1" applyBorder="1" applyAlignment="1">
      <alignment horizontal="right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3" fillId="3" borderId="4" xfId="0" applyNumberFormat="1" applyFont="1" applyFill="1" applyBorder="1" applyAlignment="1" applyProtection="1">
      <alignment horizontal="left" vertical="center" wrapText="1"/>
    </xf>
    <xf numFmtId="3" fontId="3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vertical="center" wrapText="1"/>
    </xf>
    <xf numFmtId="0" fontId="0" fillId="0" borderId="0" xfId="0"/>
    <xf numFmtId="3" fontId="3" fillId="2" borderId="6" xfId="0" applyNumberFormat="1" applyFont="1" applyFill="1" applyBorder="1" applyAlignment="1">
      <alignment horizontal="right"/>
    </xf>
    <xf numFmtId="3" fontId="16" fillId="2" borderId="3" xfId="0" applyNumberFormat="1" applyFont="1" applyFill="1" applyBorder="1" applyAlignment="1">
      <alignment horizontal="right"/>
    </xf>
    <xf numFmtId="3" fontId="16" fillId="2" borderId="4" xfId="0" applyNumberFormat="1" applyFont="1" applyFill="1" applyBorder="1" applyAlignment="1">
      <alignment horizontal="right"/>
    </xf>
    <xf numFmtId="0" fontId="0" fillId="0" borderId="0" xfId="0"/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23" fillId="6" borderId="3" xfId="1" applyNumberFormat="1" applyFont="1" applyBorder="1" applyAlignment="1" applyProtection="1">
      <alignment horizontal="left" vertical="center" wrapText="1"/>
    </xf>
    <xf numFmtId="0" fontId="23" fillId="6" borderId="3" xfId="1" applyNumberFormat="1" applyFont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4" fontId="22" fillId="6" borderId="4" xfId="1" applyNumberFormat="1" applyFont="1" applyBorder="1" applyAlignment="1">
      <alignment horizontal="right"/>
    </xf>
    <xf numFmtId="4" fontId="22" fillId="6" borderId="3" xfId="1" applyNumberFormat="1" applyFont="1" applyBorder="1" applyAlignment="1">
      <alignment horizontal="right"/>
    </xf>
    <xf numFmtId="4" fontId="23" fillId="6" borderId="3" xfId="1" applyNumberFormat="1" applyFont="1" applyBorder="1" applyAlignment="1">
      <alignment horizontal="right"/>
    </xf>
    <xf numFmtId="4" fontId="23" fillId="6" borderId="1" xfId="1" applyNumberFormat="1" applyFont="1" applyBorder="1" applyAlignment="1">
      <alignment horizontal="right"/>
    </xf>
    <xf numFmtId="0" fontId="0" fillId="0" borderId="0" xfId="0"/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20" fillId="7" borderId="3" xfId="2" applyNumberFormat="1" applyFont="1" applyBorder="1" applyAlignment="1" applyProtection="1">
      <alignment horizontal="left" vertical="center" wrapText="1"/>
    </xf>
    <xf numFmtId="0" fontId="21" fillId="7" borderId="3" xfId="2" applyNumberFormat="1" applyFont="1" applyBorder="1" applyAlignment="1" applyProtection="1">
      <alignment horizontal="left" vertical="center" wrapText="1"/>
    </xf>
    <xf numFmtId="0" fontId="19" fillId="7" borderId="3" xfId="2" quotePrefix="1" applyBorder="1" applyAlignment="1">
      <alignment horizontal="left" vertical="center"/>
    </xf>
    <xf numFmtId="0" fontId="1" fillId="7" borderId="3" xfId="2" quotePrefix="1" applyFont="1" applyBorder="1" applyAlignment="1">
      <alignment horizontal="left" vertical="center"/>
    </xf>
    <xf numFmtId="0" fontId="21" fillId="7" borderId="3" xfId="2" quotePrefix="1" applyFont="1" applyBorder="1" applyAlignment="1">
      <alignment horizontal="left" vertical="center"/>
    </xf>
    <xf numFmtId="0" fontId="21" fillId="7" borderId="3" xfId="2" quotePrefix="1" applyFont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22" fillId="6" borderId="3" xfId="1" applyNumberFormat="1" applyFont="1" applyBorder="1" applyAlignment="1" applyProtection="1">
      <alignment horizontal="left" vertical="center" wrapText="1"/>
    </xf>
    <xf numFmtId="0" fontId="22" fillId="6" borderId="3" xfId="1" quotePrefix="1" applyFont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center" vertical="center"/>
    </xf>
    <xf numFmtId="0" fontId="20" fillId="7" borderId="3" xfId="2" applyNumberFormat="1" applyFont="1" applyBorder="1" applyAlignment="1" applyProtection="1">
      <alignment horizontal="center" vertical="center" wrapText="1"/>
    </xf>
    <xf numFmtId="0" fontId="21" fillId="7" borderId="3" xfId="2" quotePrefix="1" applyFont="1" applyBorder="1" applyAlignment="1">
      <alignment horizontal="center" vertical="center"/>
    </xf>
    <xf numFmtId="0" fontId="19" fillId="7" borderId="3" xfId="2" quotePrefix="1" applyBorder="1" applyAlignment="1">
      <alignment horizontal="center" vertical="center"/>
    </xf>
    <xf numFmtId="0" fontId="22" fillId="6" borderId="3" xfId="1" applyNumberFormat="1" applyFont="1" applyBorder="1" applyAlignment="1" applyProtection="1">
      <alignment horizontal="center" vertical="center" wrapText="1"/>
    </xf>
    <xf numFmtId="0" fontId="10" fillId="8" borderId="3" xfId="0" applyNumberFormat="1" applyFont="1" applyFill="1" applyBorder="1" applyAlignment="1" applyProtection="1">
      <alignment horizontal="left" vertical="center" wrapText="1"/>
    </xf>
    <xf numFmtId="0" fontId="10" fillId="8" borderId="3" xfId="0" applyNumberFormat="1" applyFont="1" applyFill="1" applyBorder="1" applyAlignment="1" applyProtection="1">
      <alignment horizontal="center" vertical="center" wrapText="1"/>
    </xf>
    <xf numFmtId="0" fontId="25" fillId="8" borderId="3" xfId="0" applyNumberFormat="1" applyFont="1" applyFill="1" applyBorder="1" applyAlignment="1" applyProtection="1">
      <alignment horizontal="left" vertical="center" wrapText="1"/>
    </xf>
    <xf numFmtId="3" fontId="24" fillId="7" borderId="3" xfId="2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6" fillId="8" borderId="4" xfId="0" applyNumberFormat="1" applyFont="1" applyFill="1" applyBorder="1" applyAlignment="1">
      <alignment horizontal="right"/>
    </xf>
    <xf numFmtId="3" fontId="6" fillId="5" borderId="3" xfId="0" applyNumberFormat="1" applyFont="1" applyFill="1" applyBorder="1" applyAlignment="1">
      <alignment horizontal="right"/>
    </xf>
    <xf numFmtId="3" fontId="17" fillId="5" borderId="3" xfId="2" applyNumberFormat="1" applyFont="1" applyFill="1" applyBorder="1" applyAlignment="1">
      <alignment horizontal="right"/>
    </xf>
    <xf numFmtId="3" fontId="17" fillId="5" borderId="1" xfId="2" applyNumberFormat="1" applyFont="1" applyFill="1" applyBorder="1" applyAlignment="1">
      <alignment horizontal="right"/>
    </xf>
    <xf numFmtId="3" fontId="24" fillId="5" borderId="3" xfId="2" applyNumberFormat="1" applyFont="1" applyFill="1" applyBorder="1" applyAlignment="1">
      <alignment horizontal="right"/>
    </xf>
    <xf numFmtId="3" fontId="6" fillId="5" borderId="4" xfId="0" applyNumberFormat="1" applyFont="1" applyFill="1" applyBorder="1" applyAlignment="1">
      <alignment horizontal="right"/>
    </xf>
    <xf numFmtId="3" fontId="17" fillId="9" borderId="4" xfId="1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3" borderId="2" xfId="0" applyFont="1" applyFill="1" applyBorder="1" applyAlignment="1">
      <alignment vertical="center"/>
    </xf>
    <xf numFmtId="0" fontId="21" fillId="2" borderId="3" xfId="2" quotePrefix="1" applyFont="1" applyFill="1" applyBorder="1" applyAlignment="1">
      <alignment horizontal="center" vertical="center"/>
    </xf>
    <xf numFmtId="0" fontId="21" fillId="2" borderId="3" xfId="2" applyNumberFormat="1" applyFont="1" applyFill="1" applyBorder="1" applyAlignment="1" applyProtection="1">
      <alignment horizontal="left" vertical="center" wrapText="1"/>
    </xf>
    <xf numFmtId="3" fontId="26" fillId="2" borderId="3" xfId="2" applyNumberFormat="1" applyFont="1" applyFill="1" applyBorder="1" applyAlignment="1">
      <alignment horizontal="right"/>
    </xf>
    <xf numFmtId="0" fontId="24" fillId="2" borderId="3" xfId="2" quotePrefix="1" applyFont="1" applyFill="1" applyBorder="1" applyAlignment="1">
      <alignment horizontal="left" vertical="center" wrapText="1"/>
    </xf>
    <xf numFmtId="3" fontId="24" fillId="2" borderId="4" xfId="2" applyNumberFormat="1" applyFont="1" applyFill="1" applyBorder="1" applyAlignment="1">
      <alignment horizontal="right"/>
    </xf>
    <xf numFmtId="0" fontId="1" fillId="0" borderId="0" xfId="0" applyFont="1"/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0" fillId="0" borderId="0" xfId="0" applyFill="1"/>
    <xf numFmtId="0" fontId="29" fillId="0" borderId="3" xfId="0" applyFont="1" applyFill="1" applyBorder="1" applyAlignment="1">
      <alignment horizontal="left" vertical="center" wrapText="1"/>
    </xf>
    <xf numFmtId="0" fontId="9" fillId="0" borderId="3" xfId="0" quotePrefix="1" applyFont="1" applyFill="1" applyBorder="1" applyAlignment="1">
      <alignment horizontal="left" vertical="center"/>
    </xf>
    <xf numFmtId="3" fontId="16" fillId="0" borderId="3" xfId="0" applyNumberFormat="1" applyFont="1" applyFill="1" applyBorder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3" fontId="26" fillId="0" borderId="3" xfId="2" applyNumberFormat="1" applyFont="1" applyFill="1" applyBorder="1" applyAlignment="1">
      <alignment horizontal="right"/>
    </xf>
    <xf numFmtId="0" fontId="0" fillId="0" borderId="0" xfId="0" applyFont="1" applyFill="1"/>
    <xf numFmtId="0" fontId="26" fillId="0" borderId="3" xfId="2" quotePrefix="1" applyFont="1" applyFill="1" applyBorder="1" applyAlignment="1">
      <alignment horizontal="left" vertical="center" wrapText="1"/>
    </xf>
    <xf numFmtId="0" fontId="0" fillId="0" borderId="3" xfId="0" applyFill="1" applyBorder="1"/>
    <xf numFmtId="3" fontId="3" fillId="0" borderId="4" xfId="0" applyNumberFormat="1" applyFont="1" applyFill="1" applyBorder="1" applyAlignment="1">
      <alignment horizontal="right"/>
    </xf>
    <xf numFmtId="0" fontId="27" fillId="0" borderId="0" xfId="0" applyFont="1" applyFill="1"/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3" fontId="10" fillId="4" borderId="1" xfId="0" quotePrefix="1" applyNumberFormat="1" applyFont="1" applyFill="1" applyBorder="1" applyAlignment="1">
      <alignment horizontal="right"/>
    </xf>
    <xf numFmtId="3" fontId="10" fillId="4" borderId="3" xfId="0" applyNumberFormat="1" applyFont="1" applyFill="1" applyBorder="1" applyAlignment="1">
      <alignment horizontal="right" wrapText="1"/>
    </xf>
    <xf numFmtId="3" fontId="10" fillId="3" borderId="1" xfId="0" quotePrefix="1" applyNumberFormat="1" applyFont="1" applyFill="1" applyBorder="1" applyAlignment="1">
      <alignment horizontal="right"/>
    </xf>
    <xf numFmtId="3" fontId="10" fillId="3" borderId="3" xfId="0" quotePrefix="1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30" fillId="0" borderId="0" xfId="0" applyFont="1" applyAlignment="1">
      <alignment wrapText="1"/>
    </xf>
    <xf numFmtId="3" fontId="3" fillId="0" borderId="3" xfId="0" applyNumberFormat="1" applyFont="1" applyFill="1" applyBorder="1" applyAlignment="1">
      <alignment horizontal="right"/>
    </xf>
    <xf numFmtId="3" fontId="18" fillId="0" borderId="4" xfId="0" applyNumberFormat="1" applyFont="1" applyFill="1" applyBorder="1" applyAlignment="1">
      <alignment horizontal="right"/>
    </xf>
    <xf numFmtId="3" fontId="24" fillId="0" borderId="3" xfId="0" applyNumberFormat="1" applyFont="1" applyFill="1" applyBorder="1"/>
    <xf numFmtId="3" fontId="1" fillId="0" borderId="3" xfId="0" applyNumberFormat="1" applyFont="1" applyFill="1" applyBorder="1"/>
    <xf numFmtId="1" fontId="0" fillId="0" borderId="3" xfId="0" applyNumberFormat="1" applyBorder="1"/>
    <xf numFmtId="1" fontId="1" fillId="0" borderId="3" xfId="0" applyNumberFormat="1" applyFont="1" applyBorder="1"/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26" fillId="0" borderId="3" xfId="0" quotePrefix="1" applyFont="1" applyBorder="1" applyAlignment="1">
      <alignment horizontal="left"/>
    </xf>
    <xf numFmtId="0" fontId="26" fillId="0" borderId="3" xfId="0" quotePrefix="1" applyFont="1" applyBorder="1" applyAlignment="1">
      <alignment horizontal="left" vertical="center"/>
    </xf>
    <xf numFmtId="0" fontId="26" fillId="2" borderId="3" xfId="2" quotePrefix="1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17" fillId="0" borderId="3" xfId="0" applyNumberFormat="1" applyFont="1" applyFill="1" applyBorder="1"/>
    <xf numFmtId="3" fontId="6" fillId="0" borderId="4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26" fillId="0" borderId="3" xfId="0" quotePrefix="1" applyFont="1" applyBorder="1" applyAlignment="1">
      <alignment horizontal="left" vertical="center" wrapText="1"/>
    </xf>
    <xf numFmtId="3" fontId="26" fillId="0" borderId="4" xfId="2" applyNumberFormat="1" applyFont="1" applyFill="1" applyBorder="1" applyAlignment="1">
      <alignment horizontal="right"/>
    </xf>
    <xf numFmtId="0" fontId="26" fillId="0" borderId="3" xfId="0" quotePrefix="1" applyFont="1" applyBorder="1" applyAlignment="1">
      <alignment horizontal="left" wrapText="1"/>
    </xf>
    <xf numFmtId="0" fontId="1" fillId="0" borderId="0" xfId="0" applyFont="1" applyFill="1"/>
    <xf numFmtId="0" fontId="18" fillId="0" borderId="3" xfId="0" applyFont="1" applyBorder="1" applyAlignment="1">
      <alignment horizontal="left" vertical="center" wrapText="1"/>
    </xf>
    <xf numFmtId="3" fontId="18" fillId="0" borderId="4" xfId="0" applyNumberFormat="1" applyFont="1" applyBorder="1" applyAlignment="1">
      <alignment horizontal="right" vertical="center" wrapText="1"/>
    </xf>
    <xf numFmtId="0" fontId="21" fillId="0" borderId="0" xfId="0" applyFont="1"/>
    <xf numFmtId="0" fontId="20" fillId="0" borderId="0" xfId="0" applyFont="1"/>
    <xf numFmtId="0" fontId="20" fillId="2" borderId="0" xfId="0" applyFont="1" applyFill="1"/>
    <xf numFmtId="0" fontId="21" fillId="2" borderId="0" xfId="0" applyFont="1" applyFill="1"/>
    <xf numFmtId="3" fontId="16" fillId="2" borderId="0" xfId="0" applyNumberFormat="1" applyFont="1" applyFill="1" applyBorder="1" applyAlignment="1">
      <alignment horizontal="right"/>
    </xf>
    <xf numFmtId="3" fontId="18" fillId="2" borderId="0" xfId="0" applyNumberFormat="1" applyFont="1" applyFill="1" applyBorder="1" applyAlignment="1">
      <alignment horizontal="right"/>
    </xf>
    <xf numFmtId="0" fontId="20" fillId="0" borderId="0" xfId="0" applyFont="1" applyFill="1"/>
    <xf numFmtId="0" fontId="20" fillId="2" borderId="3" xfId="0" applyFont="1" applyFill="1" applyBorder="1"/>
    <xf numFmtId="0" fontId="31" fillId="0" borderId="3" xfId="1" applyNumberFormat="1" applyFont="1" applyFill="1" applyBorder="1" applyAlignment="1" applyProtection="1">
      <alignment horizontal="left" vertical="center" wrapText="1"/>
    </xf>
    <xf numFmtId="0" fontId="32" fillId="0" borderId="3" xfId="1" applyNumberFormat="1" applyFont="1" applyFill="1" applyBorder="1" applyAlignment="1" applyProtection="1">
      <alignment horizontal="left" vertical="center" wrapText="1"/>
    </xf>
    <xf numFmtId="3" fontId="31" fillId="0" borderId="4" xfId="1" applyNumberFormat="1" applyFont="1" applyFill="1" applyBorder="1" applyAlignment="1">
      <alignment horizontal="right"/>
    </xf>
    <xf numFmtId="0" fontId="20" fillId="0" borderId="0" xfId="0" applyFont="1" applyFill="1" applyAlignment="1">
      <alignment horizontal="left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3" fontId="16" fillId="0" borderId="7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9" fillId="0" borderId="3" xfId="0" quotePrefix="1" applyFont="1" applyFill="1" applyBorder="1" applyAlignment="1">
      <alignment horizontal="center" vertical="center"/>
    </xf>
    <xf numFmtId="0" fontId="9" fillId="0" borderId="3" xfId="0" quotePrefix="1" applyFont="1" applyFill="1" applyBorder="1" applyAlignment="1">
      <alignment horizontal="left" vertical="center" wrapText="1"/>
    </xf>
    <xf numFmtId="0" fontId="33" fillId="0" borderId="3" xfId="0" quotePrefix="1" applyFont="1" applyFill="1" applyBorder="1" applyAlignment="1">
      <alignment horizontal="left" vertical="center"/>
    </xf>
    <xf numFmtId="0" fontId="33" fillId="0" borderId="3" xfId="0" quotePrefix="1" applyFont="1" applyFill="1" applyBorder="1" applyAlignment="1">
      <alignment horizontal="center" vertical="center"/>
    </xf>
    <xf numFmtId="0" fontId="33" fillId="0" borderId="3" xfId="0" quotePrefix="1" applyFont="1" applyFill="1" applyBorder="1" applyAlignment="1">
      <alignment horizontal="left" vertical="center" wrapText="1"/>
    </xf>
    <xf numFmtId="3" fontId="34" fillId="0" borderId="4" xfId="0" applyNumberFormat="1" applyFont="1" applyFill="1" applyBorder="1" applyAlignment="1">
      <alignment horizontal="right"/>
    </xf>
    <xf numFmtId="3" fontId="34" fillId="0" borderId="3" xfId="0" applyNumberFormat="1" applyFont="1" applyFill="1" applyBorder="1" applyAlignment="1">
      <alignment horizontal="right"/>
    </xf>
    <xf numFmtId="0" fontId="35" fillId="0" borderId="0" xfId="0" applyFont="1" applyFill="1"/>
    <xf numFmtId="0" fontId="31" fillId="0" borderId="3" xfId="1" applyNumberFormat="1" applyFont="1" applyFill="1" applyBorder="1" applyAlignment="1" applyProtection="1">
      <alignment horizontal="center" vertical="center" wrapText="1"/>
    </xf>
    <xf numFmtId="0" fontId="31" fillId="0" borderId="3" xfId="1" quotePrefix="1" applyFont="1" applyFill="1" applyBorder="1" applyAlignment="1">
      <alignment horizontal="left" vertical="center"/>
    </xf>
    <xf numFmtId="3" fontId="24" fillId="0" borderId="4" xfId="1" applyNumberFormat="1" applyFont="1" applyFill="1" applyBorder="1" applyAlignment="1">
      <alignment horizontal="right"/>
    </xf>
    <xf numFmtId="0" fontId="32" fillId="0" borderId="3" xfId="1" applyNumberFormat="1" applyFont="1" applyFill="1" applyBorder="1" applyAlignment="1" applyProtection="1">
      <alignment horizontal="center" vertical="center" wrapText="1"/>
    </xf>
    <xf numFmtId="3" fontId="31" fillId="0" borderId="3" xfId="1" applyNumberFormat="1" applyFont="1" applyFill="1" applyBorder="1" applyAlignment="1">
      <alignment horizontal="right"/>
    </xf>
    <xf numFmtId="0" fontId="29" fillId="2" borderId="3" xfId="0" applyNumberFormat="1" applyFont="1" applyFill="1" applyBorder="1" applyAlignment="1" applyProtection="1">
      <alignment horizontal="left" vertical="center" wrapText="1"/>
    </xf>
    <xf numFmtId="0" fontId="29" fillId="2" borderId="3" xfId="0" applyNumberFormat="1" applyFont="1" applyFill="1" applyBorder="1" applyAlignment="1" applyProtection="1">
      <alignment horizontal="center" vertical="center" wrapText="1"/>
    </xf>
    <xf numFmtId="0" fontId="29" fillId="2" borderId="3" xfId="0" quotePrefix="1" applyFont="1" applyFill="1" applyBorder="1" applyAlignment="1">
      <alignment horizontal="center" vertical="center"/>
    </xf>
    <xf numFmtId="3" fontId="16" fillId="0" borderId="3" xfId="0" applyNumberFormat="1" applyFont="1" applyBorder="1" applyAlignment="1">
      <alignment horizontal="right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vertical="center" wrapText="1"/>
    </xf>
    <xf numFmtId="0" fontId="6" fillId="2" borderId="4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3" fontId="0" fillId="0" borderId="3" xfId="0" applyNumberFormat="1" applyFill="1" applyBorder="1"/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0" fillId="0" borderId="4" xfId="0" applyFill="1" applyBorder="1"/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3" fontId="26" fillId="2" borderId="3" xfId="0" applyNumberFormat="1" applyFont="1" applyFill="1" applyBorder="1"/>
    <xf numFmtId="0" fontId="5" fillId="0" borderId="0" xfId="0" applyFont="1" applyAlignment="1">
      <alignment vertical="center" wrapText="1"/>
    </xf>
    <xf numFmtId="3" fontId="8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 applyProtection="1">
      <alignment horizontal="center" vertical="center" wrapText="1"/>
    </xf>
    <xf numFmtId="0" fontId="10" fillId="0" borderId="1" xfId="0" quotePrefix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10" fillId="3" borderId="1" xfId="0" quotePrefix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6" fillId="3" borderId="1" xfId="0" applyNumberFormat="1" applyFont="1" applyFill="1" applyBorder="1" applyAlignment="1" applyProtection="1">
      <alignment horizontal="left" vertical="center" wrapText="1"/>
    </xf>
    <xf numFmtId="0" fontId="16" fillId="3" borderId="2" xfId="0" applyNumberFormat="1" applyFont="1" applyFill="1" applyBorder="1" applyAlignment="1" applyProtection="1">
      <alignment horizontal="left" vertical="center" wrapText="1"/>
    </xf>
    <xf numFmtId="0" fontId="16" fillId="3" borderId="4" xfId="0" applyNumberFormat="1" applyFont="1" applyFill="1" applyBorder="1" applyAlignment="1" applyProtection="1">
      <alignment horizontal="left" vertical="center" wrapText="1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</cellXfs>
  <cellStyles count="3">
    <cellStyle name="20% - Isticanje4" xfId="2" builtinId="42"/>
    <cellStyle name="40% - Isticanje2" xfId="1" builtinId="35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1628775</xdr:colOff>
      <xdr:row>0</xdr:row>
      <xdr:rowOff>47626</xdr:rowOff>
    </xdr:from>
    <xdr:to>
      <xdr:col>13</xdr:col>
      <xdr:colOff>245192</xdr:colOff>
      <xdr:row>2</xdr:row>
      <xdr:rowOff>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A8D7E3F2-0A4B-440C-AC26-4F13D3DAD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9575" y="47626"/>
          <a:ext cx="2293067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opLeftCell="A4" workbookViewId="0">
      <selection activeCell="E43" sqref="E43"/>
    </sheetView>
  </sheetViews>
  <sheetFormatPr defaultRowHeight="15" x14ac:dyDescent="0.25"/>
  <cols>
    <col min="5" max="5" width="29.5703125" customWidth="1"/>
    <col min="6" max="7" width="25.28515625" style="57" hidden="1" customWidth="1"/>
    <col min="8" max="8" width="29.85546875" customWidth="1"/>
    <col min="9" max="9" width="27.7109375" customWidth="1"/>
    <col min="10" max="10" width="25.28515625" hidden="1" customWidth="1"/>
  </cols>
  <sheetData>
    <row r="1" spans="1:10" ht="42" customHeight="1" x14ac:dyDescent="0.25">
      <c r="A1" s="295" t="s">
        <v>151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ht="12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20.25" customHeight="1" x14ac:dyDescent="0.25">
      <c r="A3" s="295" t="s">
        <v>24</v>
      </c>
      <c r="B3" s="295"/>
      <c r="C3" s="295"/>
      <c r="D3" s="295"/>
      <c r="E3" s="295"/>
      <c r="F3" s="295"/>
      <c r="G3" s="295"/>
      <c r="H3" s="295"/>
      <c r="I3" s="297"/>
      <c r="J3" s="297"/>
    </row>
    <row r="4" spans="1:10" ht="11.25" customHeight="1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295" t="s">
        <v>32</v>
      </c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31" t="s">
        <v>39</v>
      </c>
    </row>
    <row r="7" spans="1:10" ht="25.5" x14ac:dyDescent="0.25">
      <c r="A7" s="25"/>
      <c r="B7" s="26"/>
      <c r="C7" s="26"/>
      <c r="D7" s="27"/>
      <c r="E7" s="28"/>
      <c r="F7" s="4" t="s">
        <v>110</v>
      </c>
      <c r="G7" s="4" t="s">
        <v>90</v>
      </c>
      <c r="H7" s="41" t="s">
        <v>91</v>
      </c>
      <c r="I7" s="41" t="s">
        <v>136</v>
      </c>
      <c r="J7" s="4" t="s">
        <v>92</v>
      </c>
    </row>
    <row r="8" spans="1:10" ht="15" customHeight="1" x14ac:dyDescent="0.25">
      <c r="A8" s="298" t="s">
        <v>0</v>
      </c>
      <c r="B8" s="292"/>
      <c r="C8" s="292"/>
      <c r="D8" s="292"/>
      <c r="E8" s="299"/>
      <c r="F8" s="29">
        <f>F9+F10</f>
        <v>1230913.6638131263</v>
      </c>
      <c r="G8" s="29" t="e">
        <f>G9+G10</f>
        <v>#REF!</v>
      </c>
      <c r="H8" s="90">
        <f>H9+H10</f>
        <v>1327440.5900000001</v>
      </c>
      <c r="I8" s="90">
        <f>I9+I10</f>
        <v>1664726.3299999998</v>
      </c>
      <c r="J8" s="90" t="e">
        <f>J9+J10</f>
        <v>#REF!</v>
      </c>
    </row>
    <row r="9" spans="1:10" ht="15" customHeight="1" x14ac:dyDescent="0.25">
      <c r="A9" s="300" t="s">
        <v>113</v>
      </c>
      <c r="B9" s="294"/>
      <c r="C9" s="294"/>
      <c r="D9" s="294"/>
      <c r="E9" s="290"/>
      <c r="F9" s="30">
        <f>9274319/7.5345</f>
        <v>1230913.6638131263</v>
      </c>
      <c r="G9" s="49" t="e">
        <f>' Račun prihoda i rashoda'!E18</f>
        <v>#REF!</v>
      </c>
      <c r="H9" s="33">
        <f>' Račun prihoda i rashoda'!F10</f>
        <v>1327440.5900000001</v>
      </c>
      <c r="I9" s="98">
        <f>' Račun prihoda i rashoda'!G10</f>
        <v>1664726.3299999998</v>
      </c>
      <c r="J9" s="98" t="e">
        <f>' Račun prihoda i rashoda'!H10</f>
        <v>#REF!</v>
      </c>
    </row>
    <row r="10" spans="1:10" x14ac:dyDescent="0.25">
      <c r="A10" s="289" t="s">
        <v>114</v>
      </c>
      <c r="B10" s="290"/>
      <c r="C10" s="290"/>
      <c r="D10" s="290"/>
      <c r="E10" s="290"/>
      <c r="F10" s="30"/>
      <c r="G10" s="30"/>
      <c r="H10" s="30"/>
      <c r="I10" s="91"/>
      <c r="J10" s="91"/>
    </row>
    <row r="11" spans="1:10" x14ac:dyDescent="0.25">
      <c r="A11" s="32" t="s">
        <v>2</v>
      </c>
      <c r="B11" s="155"/>
      <c r="C11" s="155"/>
      <c r="D11" s="155"/>
      <c r="E11" s="155"/>
      <c r="F11" s="90">
        <f>F12+F13</f>
        <v>1192288.2739398766</v>
      </c>
      <c r="G11" s="90" t="e">
        <f>G12+G13</f>
        <v>#REF!</v>
      </c>
      <c r="H11" s="90">
        <f>H12+H13</f>
        <v>1351838</v>
      </c>
      <c r="I11" s="90">
        <f>I12+I13</f>
        <v>1719066.0299999998</v>
      </c>
      <c r="J11" s="90">
        <f>J12+J13</f>
        <v>1323838</v>
      </c>
    </row>
    <row r="12" spans="1:10" ht="15" customHeight="1" x14ac:dyDescent="0.25">
      <c r="A12" s="293" t="s">
        <v>115</v>
      </c>
      <c r="B12" s="294"/>
      <c r="C12" s="294"/>
      <c r="D12" s="294"/>
      <c r="E12" s="294"/>
      <c r="F12" s="91">
        <f>8810780/7.5345</f>
        <v>1169391.465923419</v>
      </c>
      <c r="G12" s="98" t="e">
        <f>' Račun prihoda i rashoda'!E24+' Račun prihoda i rashoda'!E32</f>
        <v>#REF!</v>
      </c>
      <c r="H12" s="98">
        <f>' Račun prihoda i rashoda'!F24</f>
        <v>1309838</v>
      </c>
      <c r="I12" s="98">
        <f>' Račun prihoda i rashoda'!G24</f>
        <v>1580196.9</v>
      </c>
      <c r="J12" s="98">
        <f>' Račun prihoda i rashoda'!H24</f>
        <v>1300838</v>
      </c>
    </row>
    <row r="13" spans="1:10" x14ac:dyDescent="0.25">
      <c r="A13" s="289" t="s">
        <v>116</v>
      </c>
      <c r="B13" s="290"/>
      <c r="C13" s="290"/>
      <c r="D13" s="290"/>
      <c r="E13" s="290"/>
      <c r="F13" s="30">
        <f>172516/7.5345</f>
        <v>22896.808016457628</v>
      </c>
      <c r="G13" s="30" t="e">
        <f>' Račun prihoda i rashoda'!E29</f>
        <v>#REF!</v>
      </c>
      <c r="H13" s="30">
        <f>' Račun prihoda i rashoda'!F29</f>
        <v>42000</v>
      </c>
      <c r="I13" s="91">
        <f>' Račun prihoda i rashoda'!G29</f>
        <v>138869.13</v>
      </c>
      <c r="J13" s="91">
        <f>' Račun prihoda i rashoda'!H29</f>
        <v>23000</v>
      </c>
    </row>
    <row r="14" spans="1:10" ht="15" customHeight="1" x14ac:dyDescent="0.25">
      <c r="A14" s="291" t="s">
        <v>3</v>
      </c>
      <c r="B14" s="292"/>
      <c r="C14" s="292"/>
      <c r="D14" s="292"/>
      <c r="E14" s="292"/>
      <c r="F14" s="29">
        <f>F8-F11</f>
        <v>38625.389873249689</v>
      </c>
      <c r="G14" s="90" t="e">
        <f>G8-G11</f>
        <v>#REF!</v>
      </c>
      <c r="H14" s="90">
        <f>H8-H11</f>
        <v>-24397.409999999916</v>
      </c>
      <c r="I14" s="90">
        <f>I8-I11</f>
        <v>-54339.699999999953</v>
      </c>
      <c r="J14" s="90" t="e">
        <f>J8-J11</f>
        <v>#REF!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295" t="s">
        <v>33</v>
      </c>
      <c r="B16" s="296"/>
      <c r="C16" s="296"/>
      <c r="D16" s="296"/>
      <c r="E16" s="296"/>
      <c r="F16" s="296"/>
      <c r="G16" s="296"/>
      <c r="H16" s="296"/>
      <c r="I16" s="296"/>
      <c r="J16" s="296"/>
    </row>
    <row r="17" spans="1:10" ht="18" x14ac:dyDescent="0.25">
      <c r="A17" s="5"/>
      <c r="B17" s="9"/>
      <c r="C17" s="9"/>
      <c r="D17" s="9"/>
      <c r="E17" s="9"/>
      <c r="F17" s="9"/>
      <c r="G17" s="9"/>
      <c r="H17" s="3"/>
      <c r="I17" s="3"/>
      <c r="J17" s="3"/>
    </row>
    <row r="18" spans="1:10" s="118" customFormat="1" ht="25.5" x14ac:dyDescent="0.25">
      <c r="A18" s="25"/>
      <c r="B18" s="26"/>
      <c r="C18" s="26"/>
      <c r="D18" s="27"/>
      <c r="E18" s="28"/>
      <c r="F18" s="4" t="s">
        <v>110</v>
      </c>
      <c r="G18" s="4" t="s">
        <v>90</v>
      </c>
      <c r="H18" s="41" t="s">
        <v>91</v>
      </c>
      <c r="I18" s="41" t="s">
        <v>136</v>
      </c>
      <c r="J18" s="4" t="s">
        <v>92</v>
      </c>
    </row>
    <row r="19" spans="1:10" s="118" customFormat="1" x14ac:dyDescent="0.25">
      <c r="A19" s="289" t="s">
        <v>111</v>
      </c>
      <c r="B19" s="290"/>
      <c r="C19" s="290"/>
      <c r="D19" s="290"/>
      <c r="E19" s="290"/>
      <c r="F19" s="91">
        <v>0</v>
      </c>
      <c r="G19" s="91">
        <v>0</v>
      </c>
      <c r="H19" s="91">
        <v>0</v>
      </c>
      <c r="I19" s="91">
        <v>0</v>
      </c>
      <c r="J19" s="91">
        <v>0</v>
      </c>
    </row>
    <row r="20" spans="1:10" s="118" customFormat="1" x14ac:dyDescent="0.25">
      <c r="A20" s="289" t="s">
        <v>112</v>
      </c>
      <c r="B20" s="290"/>
      <c r="C20" s="290"/>
      <c r="D20" s="290"/>
      <c r="E20" s="290"/>
      <c r="F20" s="91">
        <v>0</v>
      </c>
      <c r="G20" s="91">
        <v>0</v>
      </c>
      <c r="H20" s="91">
        <v>0</v>
      </c>
      <c r="I20" s="91">
        <v>0</v>
      </c>
      <c r="J20" s="91">
        <v>0</v>
      </c>
    </row>
    <row r="21" spans="1:10" s="118" customFormat="1" x14ac:dyDescent="0.25">
      <c r="A21" s="291" t="s">
        <v>4</v>
      </c>
      <c r="B21" s="292"/>
      <c r="C21" s="292"/>
      <c r="D21" s="292"/>
      <c r="E21" s="292"/>
      <c r="F21" s="90">
        <f>F19-F20</f>
        <v>0</v>
      </c>
      <c r="G21" s="90">
        <f>G19-G20</f>
        <v>0</v>
      </c>
      <c r="H21" s="90">
        <f>H19-H20</f>
        <v>0</v>
      </c>
      <c r="I21" s="90">
        <f>I19-I20</f>
        <v>0</v>
      </c>
      <c r="J21" s="90">
        <f>J19-J20</f>
        <v>0</v>
      </c>
    </row>
    <row r="22" spans="1:10" s="118" customFormat="1" x14ac:dyDescent="0.25">
      <c r="A22" s="291" t="s">
        <v>5</v>
      </c>
      <c r="B22" s="292"/>
      <c r="C22" s="292"/>
      <c r="D22" s="292"/>
      <c r="E22" s="292"/>
      <c r="F22" s="90">
        <f>F14+F21</f>
        <v>38625.389873249689</v>
      </c>
      <c r="G22" s="90" t="e">
        <f>G14+G21</f>
        <v>#REF!</v>
      </c>
      <c r="H22" s="90">
        <f>H14+H21</f>
        <v>-24397.409999999916</v>
      </c>
      <c r="I22" s="90">
        <f>I14+I21</f>
        <v>-54339.699999999953</v>
      </c>
      <c r="J22" s="90" t="e">
        <f>J14+J21</f>
        <v>#REF!</v>
      </c>
    </row>
    <row r="23" spans="1:10" s="118" customFormat="1" ht="18" x14ac:dyDescent="0.25">
      <c r="A23" s="22"/>
      <c r="B23" s="9"/>
      <c r="C23" s="9"/>
      <c r="D23" s="9"/>
      <c r="E23" s="9"/>
      <c r="F23" s="9"/>
      <c r="G23" s="9"/>
      <c r="H23" s="3"/>
      <c r="I23" s="3"/>
      <c r="J23" s="3"/>
    </row>
    <row r="24" spans="1:10" s="118" customFormat="1" ht="18" customHeight="1" x14ac:dyDescent="0.25">
      <c r="A24" s="295" t="s">
        <v>145</v>
      </c>
      <c r="B24" s="296"/>
      <c r="C24" s="296"/>
      <c r="D24" s="296"/>
      <c r="E24" s="296"/>
      <c r="F24" s="296"/>
      <c r="G24" s="296"/>
      <c r="H24" s="296"/>
      <c r="I24" s="296"/>
      <c r="J24" s="296"/>
    </row>
    <row r="25" spans="1:10" s="118" customFormat="1" ht="18" customHeight="1" x14ac:dyDescent="0.25">
      <c r="A25" s="153"/>
      <c r="B25" s="154"/>
      <c r="C25" s="154"/>
      <c r="D25" s="154"/>
      <c r="E25" s="154"/>
      <c r="F25" s="154"/>
      <c r="G25" s="154"/>
      <c r="H25" s="154"/>
      <c r="I25" s="154"/>
      <c r="J25" s="154"/>
    </row>
    <row r="26" spans="1:10" s="118" customFormat="1" ht="25.5" x14ac:dyDescent="0.25">
      <c r="A26" s="25"/>
      <c r="B26" s="26"/>
      <c r="C26" s="26"/>
      <c r="D26" s="27"/>
      <c r="E26" s="28"/>
      <c r="F26" s="4" t="s">
        <v>110</v>
      </c>
      <c r="G26" s="4" t="s">
        <v>90</v>
      </c>
      <c r="H26" s="41" t="s">
        <v>91</v>
      </c>
      <c r="I26" s="41" t="s">
        <v>136</v>
      </c>
      <c r="J26" s="4" t="s">
        <v>92</v>
      </c>
    </row>
    <row r="27" spans="1:10" s="118" customFormat="1" ht="15" customHeight="1" x14ac:dyDescent="0.25">
      <c r="A27" s="307" t="s">
        <v>146</v>
      </c>
      <c r="B27" s="308"/>
      <c r="C27" s="308"/>
      <c r="D27" s="308"/>
      <c r="E27" s="309"/>
      <c r="F27" s="184">
        <v>15772</v>
      </c>
      <c r="G27" s="184">
        <v>54397</v>
      </c>
      <c r="H27" s="184">
        <v>24397</v>
      </c>
      <c r="I27" s="184">
        <v>54340</v>
      </c>
      <c r="J27" s="185">
        <v>0</v>
      </c>
    </row>
    <row r="28" spans="1:10" s="118" customFormat="1" ht="15" customHeight="1" x14ac:dyDescent="0.25">
      <c r="A28" s="303" t="s">
        <v>147</v>
      </c>
      <c r="B28" s="304"/>
      <c r="C28" s="304"/>
      <c r="D28" s="304"/>
      <c r="E28" s="305"/>
      <c r="F28" s="186">
        <f>F22+F27</f>
        <v>54397.389873249689</v>
      </c>
      <c r="G28" s="186" t="e">
        <f>G22+G27</f>
        <v>#REF!</v>
      </c>
      <c r="H28" s="186">
        <f>H22+H27</f>
        <v>-0.40999999991618097</v>
      </c>
      <c r="I28" s="186">
        <f>I22+I27</f>
        <v>0.30000000004656613</v>
      </c>
      <c r="J28" s="187" t="e">
        <f>J22+J27</f>
        <v>#REF!</v>
      </c>
    </row>
    <row r="29" spans="1:10" s="118" customFormat="1" ht="18" customHeight="1" x14ac:dyDescent="0.25">
      <c r="A29" s="188"/>
      <c r="B29" s="189"/>
      <c r="C29" s="189"/>
      <c r="D29" s="189"/>
      <c r="E29" s="189"/>
      <c r="F29" s="189"/>
      <c r="G29" s="189"/>
      <c r="H29" s="189"/>
      <c r="I29" s="189"/>
      <c r="J29" s="189"/>
    </row>
    <row r="30" spans="1:10" s="118" customFormat="1" ht="18" customHeight="1" x14ac:dyDescent="0.25">
      <c r="A30" s="306"/>
      <c r="B30" s="306"/>
      <c r="C30" s="306"/>
      <c r="D30" s="306"/>
      <c r="E30" s="306"/>
      <c r="F30" s="306"/>
      <c r="G30" s="306"/>
      <c r="H30" s="306"/>
      <c r="I30" s="306"/>
      <c r="J30" s="306"/>
    </row>
    <row r="31" spans="1:10" s="118" customFormat="1" x14ac:dyDescent="0.25">
      <c r="A31" s="293" t="s">
        <v>5</v>
      </c>
      <c r="B31" s="294"/>
      <c r="C31" s="294"/>
      <c r="D31" s="294"/>
      <c r="E31" s="294"/>
      <c r="F31" s="91">
        <v>0</v>
      </c>
      <c r="G31" s="91">
        <v>0</v>
      </c>
      <c r="H31" s="91">
        <v>0</v>
      </c>
      <c r="I31" s="91">
        <v>0</v>
      </c>
    </row>
    <row r="32" spans="1:10" s="118" customFormat="1" x14ac:dyDescent="0.25">
      <c r="A32" s="301"/>
      <c r="B32" s="302"/>
      <c r="C32" s="302"/>
      <c r="D32" s="302"/>
      <c r="E32" s="302"/>
      <c r="F32" s="302"/>
      <c r="G32" s="302"/>
      <c r="H32" s="302"/>
      <c r="I32" s="302"/>
      <c r="J32" s="302"/>
    </row>
    <row r="34" spans="1:9" x14ac:dyDescent="0.25">
      <c r="A34" t="s">
        <v>132</v>
      </c>
      <c r="I34" t="s">
        <v>134</v>
      </c>
    </row>
    <row r="35" spans="1:9" x14ac:dyDescent="0.25">
      <c r="A35" t="s">
        <v>133</v>
      </c>
      <c r="I35" t="s">
        <v>135</v>
      </c>
    </row>
  </sheetData>
  <mergeCells count="20">
    <mergeCell ref="A32:J32"/>
    <mergeCell ref="A22:E22"/>
    <mergeCell ref="A24:J24"/>
    <mergeCell ref="A28:E28"/>
    <mergeCell ref="A30:J30"/>
    <mergeCell ref="A27:E27"/>
    <mergeCell ref="A31:E31"/>
    <mergeCell ref="A12:E12"/>
    <mergeCell ref="A5:J5"/>
    <mergeCell ref="A16:J16"/>
    <mergeCell ref="A1:J1"/>
    <mergeCell ref="A3:J3"/>
    <mergeCell ref="A8:E8"/>
    <mergeCell ref="A9:E9"/>
    <mergeCell ref="A10:E10"/>
    <mergeCell ref="A19:E19"/>
    <mergeCell ref="A20:E20"/>
    <mergeCell ref="A21:E21"/>
    <mergeCell ref="A13:E13"/>
    <mergeCell ref="A14:E14"/>
  </mergeCells>
  <pageMargins left="0.7" right="0.7" top="0.75" bottom="0.75" header="0.3" footer="0.3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3"/>
  <sheetViews>
    <sheetView zoomScaleNormal="100" workbookViewId="0">
      <selection sqref="A1:G1"/>
    </sheetView>
  </sheetViews>
  <sheetFormatPr defaultRowHeight="15" x14ac:dyDescent="0.25"/>
  <cols>
    <col min="1" max="1" width="7.42578125" customWidth="1"/>
    <col min="2" max="2" width="8.42578125" customWidth="1"/>
    <col min="3" max="3" width="58.85546875" customWidth="1"/>
    <col min="4" max="4" width="21.140625" style="81" hidden="1" customWidth="1"/>
    <col min="5" max="5" width="17.85546875" style="81" hidden="1" customWidth="1"/>
    <col min="6" max="6" width="18.42578125" customWidth="1"/>
    <col min="7" max="7" width="16.5703125" customWidth="1"/>
    <col min="8" max="8" width="17.7109375" hidden="1" customWidth="1"/>
  </cols>
  <sheetData>
    <row r="1" spans="1:10" ht="42" customHeight="1" x14ac:dyDescent="0.25">
      <c r="A1" s="295" t="s">
        <v>151</v>
      </c>
      <c r="B1" s="295"/>
      <c r="C1" s="295"/>
      <c r="D1" s="295"/>
      <c r="E1" s="295"/>
      <c r="F1" s="295"/>
      <c r="G1" s="295"/>
      <c r="H1" s="286"/>
      <c r="I1" s="286"/>
      <c r="J1" s="286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</row>
    <row r="3" spans="1:10" ht="15.75" x14ac:dyDescent="0.25">
      <c r="A3" s="295" t="s">
        <v>24</v>
      </c>
      <c r="B3" s="295"/>
      <c r="C3" s="295"/>
      <c r="D3" s="295"/>
      <c r="E3" s="295"/>
      <c r="F3" s="295"/>
      <c r="G3" s="297"/>
      <c r="H3" s="297"/>
    </row>
    <row r="4" spans="1:10" ht="18" x14ac:dyDescent="0.25">
      <c r="A4" s="5"/>
      <c r="B4" s="5"/>
      <c r="C4" s="5"/>
      <c r="D4" s="5"/>
      <c r="E4" s="5"/>
      <c r="F4" s="5"/>
      <c r="G4" s="6"/>
      <c r="H4" s="6"/>
    </row>
    <row r="5" spans="1:10" ht="18" customHeight="1" x14ac:dyDescent="0.25">
      <c r="A5" s="295" t="s">
        <v>7</v>
      </c>
      <c r="B5" s="296"/>
      <c r="C5" s="296"/>
      <c r="D5" s="296"/>
      <c r="E5" s="296"/>
      <c r="F5" s="296"/>
      <c r="G5" s="296"/>
      <c r="H5" s="296"/>
    </row>
    <row r="6" spans="1:10" ht="18" x14ac:dyDescent="0.25">
      <c r="A6" s="5"/>
      <c r="B6" s="5"/>
      <c r="C6" s="5"/>
      <c r="D6" s="5"/>
      <c r="E6" s="5"/>
      <c r="F6" s="5"/>
      <c r="G6" s="6"/>
      <c r="H6" s="6"/>
    </row>
    <row r="7" spans="1:10" ht="15.75" x14ac:dyDescent="0.25">
      <c r="A7" s="295" t="s">
        <v>1</v>
      </c>
      <c r="B7" s="310"/>
      <c r="C7" s="310"/>
      <c r="D7" s="310"/>
      <c r="E7" s="310"/>
      <c r="F7" s="310"/>
      <c r="G7" s="310"/>
      <c r="H7" s="310"/>
    </row>
    <row r="8" spans="1:10" ht="18" x14ac:dyDescent="0.25">
      <c r="A8" s="5"/>
      <c r="B8" s="5"/>
      <c r="C8" s="5"/>
      <c r="D8" s="5"/>
      <c r="E8" s="5"/>
      <c r="F8" s="5"/>
      <c r="G8" s="6"/>
      <c r="H8" s="6"/>
    </row>
    <row r="9" spans="1:10" ht="25.5" x14ac:dyDescent="0.25">
      <c r="A9" s="21" t="s">
        <v>8</v>
      </c>
      <c r="B9" s="20" t="s">
        <v>9</v>
      </c>
      <c r="C9" s="20" t="s">
        <v>6</v>
      </c>
      <c r="D9" s="20" t="s">
        <v>89</v>
      </c>
      <c r="E9" s="21" t="s">
        <v>90</v>
      </c>
      <c r="F9" s="41" t="s">
        <v>91</v>
      </c>
      <c r="G9" s="41" t="s">
        <v>136</v>
      </c>
      <c r="H9" s="21" t="s">
        <v>94</v>
      </c>
    </row>
    <row r="10" spans="1:10" s="234" customFormat="1" ht="21.75" customHeight="1" x14ac:dyDescent="0.25">
      <c r="A10" s="231">
        <v>6</v>
      </c>
      <c r="B10" s="232"/>
      <c r="C10" s="231" t="s">
        <v>11</v>
      </c>
      <c r="D10" s="233">
        <f>D11+D12+D13+D16</f>
        <v>1230913.5855066692</v>
      </c>
      <c r="E10" s="233" t="e">
        <f>E11+E12+E13+E14</f>
        <v>#REF!</v>
      </c>
      <c r="F10" s="233">
        <f>F11+F12+F13+F14</f>
        <v>1327440.5900000001</v>
      </c>
      <c r="G10" s="233">
        <f>G11+G12+G13+G14+G15</f>
        <v>1664726.3299999998</v>
      </c>
      <c r="H10" s="233" t="e">
        <f>H11+H12+H13+H14</f>
        <v>#REF!</v>
      </c>
    </row>
    <row r="11" spans="1:10" s="229" customFormat="1" x14ac:dyDescent="0.25">
      <c r="A11" s="235"/>
      <c r="B11" s="236">
        <v>63</v>
      </c>
      <c r="C11" s="237" t="s">
        <v>35</v>
      </c>
      <c r="D11" s="174">
        <f>8259780.89/7.5345</f>
        <v>1096261.3166102595</v>
      </c>
      <c r="E11" s="173">
        <f>'Prihodi i rashodi po izvorima'!C17+'Prihodi i rashodi po izvorima'!C22+'Prihodi i rashodi po izvorima'!C19+'Prihodi i rashodi po izvorima'!C20</f>
        <v>1161838</v>
      </c>
      <c r="F11" s="173">
        <f>'Prihodi i rashodi po izvorima'!D17+'Prihodi i rashodi po izvorima'!D18+'Prihodi i rashodi po izvorima'!D20+'Prihodi i rashodi po izvorima'!D21+'Prihodi i rashodi po izvorima'!D22</f>
        <v>1225458</v>
      </c>
      <c r="G11" s="173">
        <f>'Prihodi i rashodi po izvorima'!E17+'Prihodi i rashodi po izvorima'!E18+'Prihodi i rashodi po izvorima'!E20+'Prihodi i rashodi po izvorima'!E21+'Prihodi i rashodi po izvorima'!E22</f>
        <v>1427391.64</v>
      </c>
      <c r="H11" s="173" t="e">
        <f>'Prihodi i rashodi po izvorima'!F17+'Prihodi i rashodi po izvorima'!F18+'Prihodi i rashodi po izvorima'!F20+'Prihodi i rashodi po izvorima'!F21+'Prihodi i rashodi po izvorima'!F22+'Prihodi i rashodi po izvorima'!#REF!</f>
        <v>#REF!</v>
      </c>
      <c r="I11" s="238"/>
      <c r="J11" s="239"/>
    </row>
    <row r="12" spans="1:10" s="229" customFormat="1" ht="38.25" x14ac:dyDescent="0.25">
      <c r="A12" s="172"/>
      <c r="B12" s="240">
        <v>65</v>
      </c>
      <c r="C12" s="241" t="s">
        <v>78</v>
      </c>
      <c r="D12" s="174">
        <f>84456.49/7.5345</f>
        <v>11209.30254164178</v>
      </c>
      <c r="E12" s="173">
        <v>8656</v>
      </c>
      <c r="F12" s="173">
        <f>'Prihodi i rashodi po izvorima'!D15-9397</f>
        <v>15603</v>
      </c>
      <c r="G12" s="173">
        <f>'Prihodi i rashodi po izvorima'!E15-2000-31023.44</f>
        <v>19476.560000000001</v>
      </c>
      <c r="H12" s="173">
        <f>'Prihodi i rashodi po izvorima'!F15</f>
        <v>25000</v>
      </c>
    </row>
    <row r="13" spans="1:10" s="229" customFormat="1" ht="25.5" x14ac:dyDescent="0.25">
      <c r="A13" s="172"/>
      <c r="B13" s="240">
        <v>67</v>
      </c>
      <c r="C13" s="237" t="s">
        <v>83</v>
      </c>
      <c r="D13" s="174">
        <f>681428.98/7.5345</f>
        <v>90441.16796071404</v>
      </c>
      <c r="E13" s="174" t="e">
        <f>'Prihodi i rashodi po izvorima'!C12+'Prihodi i rashodi po izvorima'!C13+'Prihodi i rashodi po izvorima'!#REF!</f>
        <v>#REF!</v>
      </c>
      <c r="F13" s="174">
        <f>'Prihodi i rashodi po izvorima'!D12+'Prihodi i rashodi po izvorima'!D13+'Prihodi i rashodi po izvorima'!D19</f>
        <v>81379.59</v>
      </c>
      <c r="G13" s="174">
        <f>'Prihodi i rashodi po izvorima'!E12+'Prihodi i rashodi po izvorima'!E13+'Prihodi i rashodi po izvorima'!E19</f>
        <v>171989</v>
      </c>
      <c r="H13" s="174" t="e">
        <f>'Prihodi i rashodi po izvorima'!F12+'Prihodi i rashodi po izvorima'!F13+'Prihodi i rashodi po izvorima'!F19</f>
        <v>#REF!</v>
      </c>
    </row>
    <row r="14" spans="1:10" s="229" customFormat="1" ht="25.5" x14ac:dyDescent="0.25">
      <c r="A14" s="172"/>
      <c r="B14" s="240">
        <v>66</v>
      </c>
      <c r="C14" s="237" t="s">
        <v>127</v>
      </c>
      <c r="D14" s="174">
        <v>0</v>
      </c>
      <c r="E14" s="174">
        <v>0</v>
      </c>
      <c r="F14" s="174">
        <f>'POSEBNI DIO'!F95-15000</f>
        <v>5000</v>
      </c>
      <c r="G14" s="174">
        <f>'Prihodi i rashodi po izvorima'!E25+5000+2000</f>
        <v>43869.13</v>
      </c>
      <c r="H14" s="174">
        <f>'POSEBNI DIO'!H95</f>
        <v>2000</v>
      </c>
    </row>
    <row r="15" spans="1:10" s="229" customFormat="1" x14ac:dyDescent="0.25">
      <c r="A15" s="172"/>
      <c r="B15" s="240">
        <v>68</v>
      </c>
      <c r="C15" s="237" t="s">
        <v>144</v>
      </c>
      <c r="D15" s="174"/>
      <c r="E15" s="174"/>
      <c r="F15" s="174">
        <v>0</v>
      </c>
      <c r="G15" s="174">
        <v>2000</v>
      </c>
      <c r="H15" s="174"/>
    </row>
    <row r="16" spans="1:10" s="247" customFormat="1" ht="19.5" customHeight="1" x14ac:dyDescent="0.25">
      <c r="A16" s="242">
        <v>9</v>
      </c>
      <c r="B16" s="243"/>
      <c r="C16" s="244" t="s">
        <v>129</v>
      </c>
      <c r="D16" s="245">
        <f>101800/7.5345+146852.05/7.5345</f>
        <v>33001.798394054014</v>
      </c>
      <c r="E16" s="246">
        <f>E17</f>
        <v>57245</v>
      </c>
      <c r="F16" s="246">
        <f>F17</f>
        <v>24397</v>
      </c>
      <c r="G16" s="246">
        <f>G17</f>
        <v>62506.34</v>
      </c>
      <c r="H16" s="246">
        <f>H17</f>
        <v>0</v>
      </c>
    </row>
    <row r="17" spans="1:8" s="229" customFormat="1" x14ac:dyDescent="0.25">
      <c r="A17" s="172"/>
      <c r="B17" s="240">
        <v>92</v>
      </c>
      <c r="C17" s="241" t="s">
        <v>125</v>
      </c>
      <c r="D17" s="174">
        <v>33002</v>
      </c>
      <c r="E17" s="174">
        <f>57245</f>
        <v>57245</v>
      </c>
      <c r="F17" s="174">
        <v>24397</v>
      </c>
      <c r="G17" s="174">
        <f>'Prihodi i rashodi po izvorima'!E24+31023.44-5000</f>
        <v>62506.34</v>
      </c>
      <c r="H17" s="174">
        <v>0</v>
      </c>
    </row>
    <row r="18" spans="1:8" s="229" customFormat="1" x14ac:dyDescent="0.25">
      <c r="A18" s="231"/>
      <c r="B18" s="248"/>
      <c r="C18" s="249" t="s">
        <v>80</v>
      </c>
      <c r="D18" s="250">
        <f>D10+D16</f>
        <v>1263915.3839007232</v>
      </c>
      <c r="E18" s="250" t="e">
        <f>E10+E16</f>
        <v>#REF!</v>
      </c>
      <c r="F18" s="250">
        <f>F10+F16</f>
        <v>1351837.59</v>
      </c>
      <c r="G18" s="250">
        <f>G10+G16</f>
        <v>1727232.67</v>
      </c>
      <c r="H18" s="250" t="e">
        <f>H10+H16</f>
        <v>#REF!</v>
      </c>
    </row>
    <row r="19" spans="1:8" s="104" customFormat="1" x14ac:dyDescent="0.25">
      <c r="A19" s="103"/>
      <c r="B19" s="103"/>
      <c r="C19" s="74"/>
      <c r="D19" s="102"/>
      <c r="E19" s="102"/>
      <c r="F19" s="102"/>
      <c r="G19" s="102"/>
      <c r="H19" s="76"/>
    </row>
    <row r="20" spans="1:8" s="104" customFormat="1" x14ac:dyDescent="0.25">
      <c r="A20"/>
      <c r="B20"/>
      <c r="C20"/>
      <c r="D20" s="81"/>
      <c r="E20" s="81"/>
      <c r="F20"/>
      <c r="G20"/>
      <c r="H20"/>
    </row>
    <row r="21" spans="1:8" s="104" customFormat="1" ht="15.75" x14ac:dyDescent="0.25">
      <c r="A21" s="295" t="s">
        <v>13</v>
      </c>
      <c r="B21" s="295"/>
      <c r="C21" s="295"/>
      <c r="D21" s="295"/>
      <c r="E21" s="295"/>
      <c r="F21" s="295"/>
      <c r="G21" s="295"/>
      <c r="H21" s="295"/>
    </row>
    <row r="22" spans="1:8" s="108" customFormat="1" ht="18" x14ac:dyDescent="0.25">
      <c r="A22" s="5"/>
      <c r="B22" s="5"/>
      <c r="C22" s="5"/>
      <c r="D22" s="5"/>
      <c r="E22" s="5"/>
      <c r="F22" s="5"/>
      <c r="G22" s="6"/>
      <c r="H22" s="6"/>
    </row>
    <row r="23" spans="1:8" s="118" customFormat="1" ht="25.5" x14ac:dyDescent="0.25">
      <c r="A23" s="21" t="s">
        <v>8</v>
      </c>
      <c r="B23" s="20" t="s">
        <v>9</v>
      </c>
      <c r="C23" s="20" t="s">
        <v>6</v>
      </c>
      <c r="D23" s="20" t="s">
        <v>89</v>
      </c>
      <c r="E23" s="21" t="s">
        <v>90</v>
      </c>
      <c r="F23" s="41" t="s">
        <v>91</v>
      </c>
      <c r="G23" s="41" t="s">
        <v>136</v>
      </c>
      <c r="H23" s="21" t="s">
        <v>94</v>
      </c>
    </row>
    <row r="24" spans="1:8" s="229" customFormat="1" ht="21" customHeight="1" x14ac:dyDescent="0.25">
      <c r="A24" s="231">
        <v>3</v>
      </c>
      <c r="B24" s="251"/>
      <c r="C24" s="231" t="s">
        <v>14</v>
      </c>
      <c r="D24" s="252">
        <f>D25+D26+D27</f>
        <v>1169391.4539783662</v>
      </c>
      <c r="E24" s="252" t="e">
        <f>E25+E26+E27+E28</f>
        <v>#REF!</v>
      </c>
      <c r="F24" s="252">
        <f>F25+F26+F27+F28</f>
        <v>1309838</v>
      </c>
      <c r="G24" s="252">
        <f>G25+G26+G27+G28</f>
        <v>1580196.9</v>
      </c>
      <c r="H24" s="252">
        <f>H25+H26+H27+H28</f>
        <v>1300838</v>
      </c>
    </row>
    <row r="25" spans="1:8" s="224" customFormat="1" x14ac:dyDescent="0.25">
      <c r="A25" s="253"/>
      <c r="B25" s="254">
        <v>31</v>
      </c>
      <c r="C25" s="122" t="s">
        <v>15</v>
      </c>
      <c r="D25" s="107">
        <f>'POSEBNI DIO'!E48+'POSEBNI DIO'!E78+'POSEBNI DIO'!E103</f>
        <v>1050118.3144203331</v>
      </c>
      <c r="E25" s="107" t="e">
        <f>'POSEBNI DIO'!#REF!+'POSEBNI DIO'!#REF!</f>
        <v>#REF!</v>
      </c>
      <c r="F25" s="107">
        <f>'POSEBNI DIO'!F48+'POSEBNI DIO'!F103</f>
        <v>1068883</v>
      </c>
      <c r="G25" s="107">
        <f>'POSEBNI DIO'!G48+'POSEBNI DIO'!G64+'POSEBNI DIO'!G68+'POSEBNI DIO'!G103+'POSEBNI DIO'!G55</f>
        <v>1250175</v>
      </c>
      <c r="H25" s="107">
        <f>'POSEBNI DIO'!H48+'POSEBNI DIO'!H103</f>
        <v>1068883</v>
      </c>
    </row>
    <row r="26" spans="1:8" s="224" customFormat="1" x14ac:dyDescent="0.25">
      <c r="A26" s="253"/>
      <c r="B26" s="254">
        <v>32</v>
      </c>
      <c r="C26" s="122" t="s">
        <v>27</v>
      </c>
      <c r="D26" s="107">
        <f>'POSEBNI DIO'!E13+'POSEBNI DIO'!E17+'POSEBNI DIO'!E20+'POSEBNI DIO'!E25+'POSEBNI DIO'!E28+'POSEBNI DIO'!E31+'POSEBNI DIO'!E34+'POSEBNI DIO'!E38+'POSEBNI DIO'!E41+'POSEBNI DIO'!E49+'POSEBNI DIO'!E79+'POSEBNI DIO'!E88+'POSEBNI DIO'!E104</f>
        <v>118342.42086402549</v>
      </c>
      <c r="E26" s="107" t="e">
        <f>'POSEBNI DIO'!#REF!+'POSEBNI DIO'!#REF!+'POSEBNI DIO'!#REF!+'POSEBNI DIO'!#REF!+'POSEBNI DIO'!#REF!+'POSEBNI DIO'!#REF!+'POSEBNI DIO'!#REF!+'POSEBNI DIO'!#REF!+'POSEBNI DIO'!#REF!+'POSEBNI DIO'!#REF!+'POSEBNI DIO'!#REF!+'POSEBNI DIO'!#REF!+'POSEBNI DIO'!#REF!+'POSEBNI DIO'!#REF!+'POSEBNI DIO'!#REF!</f>
        <v>#REF!</v>
      </c>
      <c r="F26" s="107">
        <f>'POSEBNI DIO'!F13+'POSEBNI DIO'!F17+'POSEBNI DIO'!F20+'POSEBNI DIO'!F25+'POSEBNI DIO'!F28+'POSEBNI DIO'!F31+'POSEBNI DIO'!F34+'POSEBNI DIO'!F38+'POSEBNI DIO'!F41+'POSEBNI DIO'!F45+'POSEBNI DIO'!F49+'POSEBNI DIO'!F79+'POSEBNI DIO'!F88+'POSEBNI DIO'!F93+'POSEBNI DIO'!F97+'POSEBNI DIO'!F104</f>
        <v>215098</v>
      </c>
      <c r="G26" s="107">
        <f>'POSEBNI DIO'!G13+'POSEBNI DIO'!G17+'POSEBNI DIO'!G20+'POSEBNI DIO'!G25+'POSEBNI DIO'!G28+'POSEBNI DIO'!G31+'POSEBNI DIO'!G34+'POSEBNI DIO'!G38+'POSEBNI DIO'!G41+'POSEBNI DIO'!G45+'POSEBNI DIO'!G49+'POSEBNI DIO'!G56+'POSEBNI DIO'!G65+'POSEBNI DIO'!G69+'POSEBNI DIO'!G72+'POSEBNI DIO'!G88+'POSEBNI DIO'!G97+'POSEBNI DIO'!G104+'POSEBNI DIO'!G60</f>
        <v>304164.90000000002</v>
      </c>
      <c r="H26" s="107">
        <f>'POSEBNI DIO'!H13+'POSEBNI DIO'!H17+'POSEBNI DIO'!H20+'POSEBNI DIO'!H25+'POSEBNI DIO'!H28+'POSEBNI DIO'!H31+'POSEBNI DIO'!H34+'POSEBNI DIO'!H38+'POSEBNI DIO'!H41+'POSEBNI DIO'!H45+'POSEBNI DIO'!H49+'POSEBNI DIO'!H79+'POSEBNI DIO'!H88+'POSEBNI DIO'!H93+'POSEBNI DIO'!H97+'POSEBNI DIO'!H104</f>
        <v>206098</v>
      </c>
    </row>
    <row r="27" spans="1:8" s="224" customFormat="1" x14ac:dyDescent="0.25">
      <c r="A27" s="122"/>
      <c r="B27" s="255">
        <v>34</v>
      </c>
      <c r="C27" s="122" t="s">
        <v>46</v>
      </c>
      <c r="D27" s="107">
        <f>'POSEBNI DIO'!E42</f>
        <v>930.7186940075652</v>
      </c>
      <c r="E27" s="107" t="e">
        <f>'POSEBNI DIO'!#REF!</f>
        <v>#REF!</v>
      </c>
      <c r="F27" s="107">
        <f>'POSEBNI DIO'!F42</f>
        <v>857</v>
      </c>
      <c r="G27" s="107">
        <f>'POSEBNI DIO'!G42</f>
        <v>857</v>
      </c>
      <c r="H27" s="107">
        <f>'POSEBNI DIO'!H42</f>
        <v>857</v>
      </c>
    </row>
    <row r="28" spans="1:8" s="224" customFormat="1" ht="25.5" x14ac:dyDescent="0.25">
      <c r="A28" s="122"/>
      <c r="B28" s="255">
        <v>37</v>
      </c>
      <c r="C28" s="95" t="s">
        <v>131</v>
      </c>
      <c r="D28" s="107" t="e">
        <f>'POSEBNI DIO'!#REF!+'POSEBNI DIO'!#REF!</f>
        <v>#REF!</v>
      </c>
      <c r="E28" s="107" t="e">
        <f>'POSEBNI DIO'!#REF!+'POSEBNI DIO'!#REF!</f>
        <v>#REF!</v>
      </c>
      <c r="F28" s="107">
        <f>'POSEBNI DIO'!F50+'POSEBNI DIO'!F57</f>
        <v>25000</v>
      </c>
      <c r="G28" s="107">
        <f>'POSEBNI DIO'!G50+'POSEBNI DIO'!G57</f>
        <v>25000</v>
      </c>
      <c r="H28" s="107">
        <f>'POSEBNI DIO'!H50+'POSEBNI DIO'!H57</f>
        <v>25000</v>
      </c>
    </row>
    <row r="29" spans="1:8" s="229" customFormat="1" ht="30" customHeight="1" x14ac:dyDescent="0.25">
      <c r="A29" s="231">
        <v>4</v>
      </c>
      <c r="B29" s="251"/>
      <c r="C29" s="231" t="s">
        <v>16</v>
      </c>
      <c r="D29" s="252">
        <f>D30</f>
        <v>22896.83456101931</v>
      </c>
      <c r="E29" s="252" t="e">
        <f>E30</f>
        <v>#REF!</v>
      </c>
      <c r="F29" s="252">
        <f>F30</f>
        <v>42000</v>
      </c>
      <c r="G29" s="252">
        <f>G30</f>
        <v>138869.13</v>
      </c>
      <c r="H29" s="252">
        <f>H30</f>
        <v>23000</v>
      </c>
    </row>
    <row r="30" spans="1:8" s="224" customFormat="1" x14ac:dyDescent="0.25">
      <c r="A30" s="253"/>
      <c r="B30" s="254">
        <v>42</v>
      </c>
      <c r="C30" s="87" t="s">
        <v>16</v>
      </c>
      <c r="D30" s="107">
        <f>'POSEBNI DIO'!E52+'POSEBNI DIO'!E81+'POSEBNI DIO'!E85+'POSEBNI DIO'!E99</f>
        <v>22896.83456101931</v>
      </c>
      <c r="E30" s="107" t="e">
        <f>'POSEBNI DIO'!#REF!+'POSEBNI DIO'!#REF!+'POSEBNI DIO'!#REF!+'POSEBNI DIO'!#REF!+'POSEBNI DIO'!#REF!</f>
        <v>#REF!</v>
      </c>
      <c r="F30" s="107">
        <f>'POSEBNI DIO'!F52+'POSEBNI DIO'!F81+'POSEBNI DIO'!F85+'POSEBNI DIO'!F90+'POSEBNI DIO'!F99</f>
        <v>42000</v>
      </c>
      <c r="G30" s="107">
        <f>'POSEBNI DIO'!G51+'POSEBNI DIO'!G73+'POSEBNI DIO'!G84+'POSEBNI DIO'!G89+'POSEBNI DIO'!G92+'POSEBNI DIO'!G98</f>
        <v>138869.13</v>
      </c>
      <c r="H30" s="107">
        <f>'POSEBNI DIO'!H52+'POSEBNI DIO'!H81+'POSEBNI DIO'!H85+'POSEBNI DIO'!H90+'POSEBNI DIO'!H99</f>
        <v>23000</v>
      </c>
    </row>
    <row r="31" spans="1:8" s="247" customFormat="1" ht="19.5" customHeight="1" x14ac:dyDescent="0.25">
      <c r="A31" s="242">
        <v>9</v>
      </c>
      <c r="B31" s="243"/>
      <c r="C31" s="244" t="s">
        <v>129</v>
      </c>
      <c r="D31" s="245">
        <f>D32</f>
        <v>0</v>
      </c>
      <c r="E31" s="245" t="e">
        <f>E32</f>
        <v>#REF!</v>
      </c>
      <c r="F31" s="245">
        <f>F32</f>
        <v>0</v>
      </c>
      <c r="G31" s="245">
        <f>G32</f>
        <v>8166.64</v>
      </c>
      <c r="H31" s="245" t="e">
        <f>H32</f>
        <v>#REF!</v>
      </c>
    </row>
    <row r="32" spans="1:8" s="229" customFormat="1" x14ac:dyDescent="0.25">
      <c r="A32" s="172"/>
      <c r="B32" s="240">
        <v>92</v>
      </c>
      <c r="C32" s="241" t="s">
        <v>128</v>
      </c>
      <c r="D32" s="174">
        <v>0</v>
      </c>
      <c r="E32" s="174" t="e">
        <f>'POSEBNI DIO'!#REF!</f>
        <v>#REF!</v>
      </c>
      <c r="F32" s="174">
        <v>0</v>
      </c>
      <c r="G32" s="174">
        <f>'POSEBNI DIO'!G21</f>
        <v>8166.64</v>
      </c>
      <c r="H32" s="174" t="e">
        <f>'POSEBNI DIO'!#REF!</f>
        <v>#REF!</v>
      </c>
    </row>
    <row r="33" spans="1:8" s="229" customFormat="1" x14ac:dyDescent="0.25">
      <c r="A33" s="231"/>
      <c r="B33" s="248"/>
      <c r="C33" s="249" t="s">
        <v>88</v>
      </c>
      <c r="D33" s="250">
        <f>D24+D29</f>
        <v>1192288.2885393854</v>
      </c>
      <c r="E33" s="250" t="e">
        <f>E24+E29+E31</f>
        <v>#REF!</v>
      </c>
      <c r="F33" s="250">
        <f>F24+F29</f>
        <v>1351838</v>
      </c>
      <c r="G33" s="250">
        <f>G24+G29+G31</f>
        <v>1727232.6699999997</v>
      </c>
      <c r="H33" s="250">
        <f>H24+H29</f>
        <v>1323838</v>
      </c>
    </row>
  </sheetData>
  <sortState xmlns:xlrd2="http://schemas.microsoft.com/office/spreadsheetml/2017/richdata2" ref="B11:H18">
    <sortCondition ref="B11:B18"/>
  </sortState>
  <mergeCells count="5">
    <mergeCell ref="A7:H7"/>
    <mergeCell ref="A21:H21"/>
    <mergeCell ref="A3:H3"/>
    <mergeCell ref="A5:H5"/>
    <mergeCell ref="A1:G1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869CC-08EE-43F2-9355-3620F2E13E18}">
  <sheetPr>
    <pageSetUpPr fitToPage="1"/>
  </sheetPr>
  <dimension ref="A1:J48"/>
  <sheetViews>
    <sheetView topLeftCell="A22" workbookViewId="0">
      <selection activeCell="E24" sqref="E24"/>
    </sheetView>
  </sheetViews>
  <sheetFormatPr defaultRowHeight="15" x14ac:dyDescent="0.25"/>
  <cols>
    <col min="1" max="1" width="47.85546875" style="118" customWidth="1"/>
    <col min="2" max="2" width="22.7109375" style="118" hidden="1" customWidth="1"/>
    <col min="3" max="3" width="0.28515625" style="118" customWidth="1"/>
    <col min="4" max="4" width="20" style="118" customWidth="1"/>
    <col min="5" max="5" width="19" style="118" customWidth="1"/>
    <col min="6" max="6" width="25.28515625" style="118" hidden="1" customWidth="1"/>
    <col min="7" max="16384" width="9.140625" style="118"/>
  </cols>
  <sheetData>
    <row r="1" spans="1:10" ht="42" customHeight="1" x14ac:dyDescent="0.25">
      <c r="A1" s="295" t="s">
        <v>151</v>
      </c>
      <c r="B1" s="295"/>
      <c r="C1" s="295"/>
      <c r="D1" s="295"/>
      <c r="E1" s="295"/>
      <c r="F1" s="286"/>
      <c r="G1" s="286"/>
      <c r="H1" s="286"/>
      <c r="I1" s="286"/>
      <c r="J1" s="286"/>
    </row>
    <row r="2" spans="1:10" ht="18" customHeight="1" x14ac:dyDescent="0.25">
      <c r="A2" s="5"/>
      <c r="B2" s="5"/>
      <c r="C2" s="5"/>
      <c r="D2" s="5"/>
      <c r="E2" s="5"/>
      <c r="F2" s="5"/>
    </row>
    <row r="3" spans="1:10" ht="15.75" customHeight="1" x14ac:dyDescent="0.25">
      <c r="A3" s="295" t="s">
        <v>24</v>
      </c>
      <c r="B3" s="295"/>
      <c r="C3" s="295"/>
      <c r="D3" s="295"/>
      <c r="E3" s="295"/>
      <c r="F3" s="295"/>
    </row>
    <row r="4" spans="1:10" ht="15" customHeight="1" x14ac:dyDescent="0.25">
      <c r="A4" s="5"/>
      <c r="B4" s="5"/>
      <c r="C4" s="5"/>
      <c r="D4" s="5"/>
      <c r="E4" s="6"/>
      <c r="F4" s="6"/>
    </row>
    <row r="5" spans="1:10" ht="18" customHeight="1" x14ac:dyDescent="0.25">
      <c r="A5" s="295" t="s">
        <v>7</v>
      </c>
      <c r="B5" s="295"/>
      <c r="C5" s="295"/>
      <c r="D5" s="295"/>
      <c r="E5" s="295"/>
      <c r="F5" s="295"/>
    </row>
    <row r="6" spans="1:10" ht="18" x14ac:dyDescent="0.25">
      <c r="A6" s="5"/>
      <c r="B6" s="5"/>
      <c r="C6" s="5"/>
      <c r="D6" s="5"/>
      <c r="E6" s="6"/>
      <c r="F6" s="6"/>
    </row>
    <row r="7" spans="1:10" ht="15.75" customHeight="1" x14ac:dyDescent="0.25">
      <c r="A7" s="295" t="s">
        <v>95</v>
      </c>
      <c r="B7" s="295"/>
      <c r="C7" s="295"/>
      <c r="D7" s="295"/>
      <c r="E7" s="295"/>
      <c r="F7" s="295"/>
    </row>
    <row r="8" spans="1:10" ht="18" x14ac:dyDescent="0.25">
      <c r="A8" s="5"/>
      <c r="B8" s="5"/>
      <c r="C8" s="5"/>
      <c r="D8" s="5"/>
      <c r="E8" s="6"/>
      <c r="F8" s="6"/>
    </row>
    <row r="9" spans="1:10" ht="114.75" x14ac:dyDescent="0.25">
      <c r="A9" s="21" t="s">
        <v>96</v>
      </c>
      <c r="B9" s="20" t="s">
        <v>89</v>
      </c>
      <c r="C9" s="21" t="s">
        <v>90</v>
      </c>
      <c r="D9" s="41" t="s">
        <v>91</v>
      </c>
      <c r="E9" s="41" t="s">
        <v>136</v>
      </c>
      <c r="F9" s="21" t="s">
        <v>97</v>
      </c>
    </row>
    <row r="10" spans="1:10" s="223" customFormat="1" x14ac:dyDescent="0.25">
      <c r="A10" s="221" t="s">
        <v>0</v>
      </c>
      <c r="B10" s="222" t="e">
        <f>B11+B14+B16+B23</f>
        <v>#REF!</v>
      </c>
      <c r="C10" s="222" t="e">
        <f>C11+C14+C16+C23</f>
        <v>#REF!</v>
      </c>
      <c r="D10" s="222">
        <f>D11+D14+D16+D23</f>
        <v>1351837.59</v>
      </c>
      <c r="E10" s="222">
        <f>E11+E14+E16+E23</f>
        <v>1727232.67</v>
      </c>
      <c r="F10" s="222" t="e">
        <f>F11+F14+F16+F23</f>
        <v>#REF!</v>
      </c>
    </row>
    <row r="11" spans="1:10" s="223" customFormat="1" ht="21.75" customHeight="1" x14ac:dyDescent="0.25">
      <c r="A11" s="203" t="s">
        <v>98</v>
      </c>
      <c r="B11" s="70">
        <f>B12+B13</f>
        <v>101585</v>
      </c>
      <c r="C11" s="70">
        <f>C12+C13</f>
        <v>60560</v>
      </c>
      <c r="D11" s="70">
        <f>D12+D13</f>
        <v>72089</v>
      </c>
      <c r="E11" s="70">
        <f>E12+E13</f>
        <v>171989</v>
      </c>
      <c r="F11" s="70" t="e">
        <f>F12+F13</f>
        <v>#REF!</v>
      </c>
    </row>
    <row r="12" spans="1:10" s="225" customFormat="1" x14ac:dyDescent="0.25">
      <c r="A12" s="122" t="s">
        <v>99</v>
      </c>
      <c r="B12" s="106">
        <v>74592</v>
      </c>
      <c r="C12" s="106">
        <v>1633</v>
      </c>
      <c r="D12" s="106">
        <f t="shared" ref="D12:F13" si="0">D34</f>
        <v>11633</v>
      </c>
      <c r="E12" s="106">
        <f t="shared" si="0"/>
        <v>39783</v>
      </c>
      <c r="F12" s="106">
        <f t="shared" si="0"/>
        <v>11633</v>
      </c>
    </row>
    <row r="13" spans="1:10" s="225" customFormat="1" x14ac:dyDescent="0.25">
      <c r="A13" s="202" t="s">
        <v>104</v>
      </c>
      <c r="B13" s="107">
        <v>26993</v>
      </c>
      <c r="C13" s="106">
        <v>58927</v>
      </c>
      <c r="D13" s="106">
        <f t="shared" si="0"/>
        <v>60456</v>
      </c>
      <c r="E13" s="106">
        <f t="shared" si="0"/>
        <v>132206</v>
      </c>
      <c r="F13" s="106" t="e">
        <f t="shared" si="0"/>
        <v>#REF!</v>
      </c>
    </row>
    <row r="14" spans="1:10" s="226" customFormat="1" ht="21" customHeight="1" x14ac:dyDescent="0.25">
      <c r="A14" s="159" t="s">
        <v>103</v>
      </c>
      <c r="B14" s="70">
        <f>B15</f>
        <v>7277</v>
      </c>
      <c r="C14" s="70">
        <f>C15</f>
        <v>34418</v>
      </c>
      <c r="D14" s="70">
        <f>D15</f>
        <v>25000</v>
      </c>
      <c r="E14" s="70">
        <f>E15</f>
        <v>52500</v>
      </c>
      <c r="F14" s="70">
        <f>F15</f>
        <v>25000</v>
      </c>
    </row>
    <row r="15" spans="1:10" s="225" customFormat="1" ht="25.5" x14ac:dyDescent="0.25">
      <c r="A15" s="202" t="s">
        <v>123</v>
      </c>
      <c r="B15" s="158">
        <v>7277</v>
      </c>
      <c r="C15" s="106">
        <v>34418</v>
      </c>
      <c r="D15" s="106">
        <f>D37</f>
        <v>25000</v>
      </c>
      <c r="E15" s="106">
        <f>E37</f>
        <v>52500</v>
      </c>
      <c r="F15" s="106">
        <f>F37</f>
        <v>25000</v>
      </c>
      <c r="J15" s="227"/>
    </row>
    <row r="16" spans="1:10" s="226" customFormat="1" ht="23.25" customHeight="1" x14ac:dyDescent="0.25">
      <c r="A16" s="159" t="s">
        <v>102</v>
      </c>
      <c r="B16" s="160" t="e">
        <f>B17+B19+B20+B21+B18+B22+#REF!</f>
        <v>#REF!</v>
      </c>
      <c r="C16" s="160" t="e">
        <f>C17+C19+C20+C21+C18+C22+#REF!</f>
        <v>#REF!</v>
      </c>
      <c r="D16" s="160">
        <f>D17+D19+D20+D21+D18+D22</f>
        <v>1234748.5900000001</v>
      </c>
      <c r="E16" s="160">
        <f>E17+E19+E20+E21+E18+E22</f>
        <v>1427391.64</v>
      </c>
      <c r="F16" s="160" t="e">
        <f>F17+F19+F20+F21+F18+F22+#REF!</f>
        <v>#REF!</v>
      </c>
      <c r="J16" s="228"/>
    </row>
    <row r="17" spans="1:6" s="225" customFormat="1" x14ac:dyDescent="0.25">
      <c r="A17" s="200" t="s">
        <v>118</v>
      </c>
      <c r="B17" s="107">
        <v>952906</v>
      </c>
      <c r="C17" s="158">
        <v>1093576</v>
      </c>
      <c r="D17" s="158">
        <f>D39</f>
        <v>1150163</v>
      </c>
      <c r="E17" s="158">
        <f>E39</f>
        <v>1340566.6399999999</v>
      </c>
      <c r="F17" s="158" t="e">
        <f>F39</f>
        <v>#REF!</v>
      </c>
    </row>
    <row r="18" spans="1:6" s="229" customFormat="1" x14ac:dyDescent="0.25">
      <c r="A18" s="219" t="s">
        <v>126</v>
      </c>
      <c r="B18" s="218">
        <f>'POSEBNI DIO'!E2</f>
        <v>0</v>
      </c>
      <c r="C18" s="218" t="e">
        <f>'POSEBNI DIO'!#REF!</f>
        <v>#REF!</v>
      </c>
      <c r="D18" s="218">
        <v>20000</v>
      </c>
      <c r="E18" s="218">
        <v>10000</v>
      </c>
      <c r="F18" s="218">
        <v>20000</v>
      </c>
    </row>
    <row r="19" spans="1:6" s="225" customFormat="1" ht="27.75" customHeight="1" x14ac:dyDescent="0.25">
      <c r="A19" s="217" t="s">
        <v>119</v>
      </c>
      <c r="B19" s="107">
        <v>2292</v>
      </c>
      <c r="C19" s="107">
        <v>9291</v>
      </c>
      <c r="D19" s="107">
        <f t="shared" ref="D19:F20" si="1">D41</f>
        <v>9290.59</v>
      </c>
      <c r="E19" s="107">
        <f t="shared" si="1"/>
        <v>0</v>
      </c>
      <c r="F19" s="107">
        <f t="shared" si="1"/>
        <v>9290.59</v>
      </c>
    </row>
    <row r="20" spans="1:6" s="225" customFormat="1" x14ac:dyDescent="0.25">
      <c r="A20" s="201" t="s">
        <v>120</v>
      </c>
      <c r="B20" s="107">
        <v>616</v>
      </c>
      <c r="C20" s="106">
        <v>19677</v>
      </c>
      <c r="D20" s="106">
        <f t="shared" si="1"/>
        <v>15000</v>
      </c>
      <c r="E20" s="106">
        <f t="shared" si="1"/>
        <v>35525</v>
      </c>
      <c r="F20" s="106">
        <f t="shared" si="1"/>
        <v>15000</v>
      </c>
    </row>
    <row r="21" spans="1:6" s="225" customFormat="1" x14ac:dyDescent="0.25">
      <c r="A21" s="201" t="s">
        <v>121</v>
      </c>
      <c r="B21" s="107">
        <v>20301</v>
      </c>
      <c r="C21" s="106">
        <v>0</v>
      </c>
      <c r="D21" s="106">
        <v>0</v>
      </c>
      <c r="E21" s="106">
        <v>0</v>
      </c>
      <c r="F21" s="106">
        <v>0</v>
      </c>
    </row>
    <row r="22" spans="1:6" s="225" customFormat="1" x14ac:dyDescent="0.25">
      <c r="A22" s="217" t="s">
        <v>122</v>
      </c>
      <c r="B22" s="107"/>
      <c r="C22" s="107">
        <v>39294</v>
      </c>
      <c r="D22" s="107">
        <f t="shared" ref="D22:F22" si="2">D44</f>
        <v>40295</v>
      </c>
      <c r="E22" s="107">
        <f t="shared" si="2"/>
        <v>41300</v>
      </c>
      <c r="F22" s="107">
        <f t="shared" si="2"/>
        <v>40295</v>
      </c>
    </row>
    <row r="23" spans="1:6" s="226" customFormat="1" ht="21.75" customHeight="1" x14ac:dyDescent="0.25">
      <c r="A23" s="159" t="s">
        <v>101</v>
      </c>
      <c r="B23" s="70">
        <f>B24</f>
        <v>39427</v>
      </c>
      <c r="C23" s="70">
        <f>C24</f>
        <v>31483</v>
      </c>
      <c r="D23" s="70">
        <f>D24</f>
        <v>20000</v>
      </c>
      <c r="E23" s="70">
        <f>E24+E25+E26</f>
        <v>75352.03</v>
      </c>
      <c r="F23" s="70">
        <f>F24</f>
        <v>2000</v>
      </c>
    </row>
    <row r="24" spans="1:6" s="225" customFormat="1" x14ac:dyDescent="0.25">
      <c r="A24" s="202" t="s">
        <v>124</v>
      </c>
      <c r="B24" s="107">
        <v>39427</v>
      </c>
      <c r="C24" s="107">
        <v>31483</v>
      </c>
      <c r="D24" s="107">
        <v>20000</v>
      </c>
      <c r="E24" s="107">
        <f>E46</f>
        <v>36482.9</v>
      </c>
      <c r="F24" s="107">
        <v>2000</v>
      </c>
    </row>
    <row r="25" spans="1:6" s="225" customFormat="1" x14ac:dyDescent="0.25">
      <c r="A25" s="202" t="s">
        <v>143</v>
      </c>
      <c r="B25" s="156"/>
      <c r="C25" s="157"/>
      <c r="D25" s="230">
        <v>0</v>
      </c>
      <c r="E25" s="285">
        <f>E47</f>
        <v>36869.129999999997</v>
      </c>
      <c r="F25" s="230"/>
    </row>
    <row r="26" spans="1:6" x14ac:dyDescent="0.25">
      <c r="A26" s="177" t="s">
        <v>150</v>
      </c>
      <c r="B26" s="36"/>
      <c r="C26" s="36"/>
      <c r="D26" s="36">
        <v>0</v>
      </c>
      <c r="E26" s="285">
        <f>E48</f>
        <v>2000</v>
      </c>
    </row>
    <row r="27" spans="1:6" ht="20.25" customHeight="1" x14ac:dyDescent="0.25"/>
    <row r="28" spans="1:6" ht="31.5" customHeight="1" x14ac:dyDescent="0.25"/>
    <row r="29" spans="1:6" ht="15.75" x14ac:dyDescent="0.25">
      <c r="A29" s="295" t="s">
        <v>100</v>
      </c>
      <c r="B29" s="295"/>
      <c r="C29" s="295"/>
      <c r="D29" s="295"/>
      <c r="E29" s="295"/>
      <c r="F29" s="295"/>
    </row>
    <row r="30" spans="1:6" ht="18" x14ac:dyDescent="0.25">
      <c r="A30" s="5"/>
      <c r="B30" s="5"/>
      <c r="C30" s="5"/>
      <c r="D30" s="5"/>
      <c r="E30" s="6"/>
      <c r="F30" s="6"/>
    </row>
    <row r="31" spans="1:6" ht="30" customHeight="1" x14ac:dyDescent="0.25">
      <c r="A31" s="167" t="s">
        <v>96</v>
      </c>
      <c r="B31" s="168" t="s">
        <v>89</v>
      </c>
      <c r="C31" s="167" t="s">
        <v>90</v>
      </c>
      <c r="D31" s="41" t="s">
        <v>91</v>
      </c>
      <c r="E31" s="41" t="s">
        <v>136</v>
      </c>
      <c r="F31" s="167" t="s">
        <v>97</v>
      </c>
    </row>
    <row r="32" spans="1:6" s="220" customFormat="1" x14ac:dyDescent="0.25">
      <c r="A32" s="169" t="s">
        <v>2</v>
      </c>
      <c r="B32" s="192" t="e">
        <f>B33+B36+B38+B45</f>
        <v>#REF!</v>
      </c>
      <c r="C32" s="192" t="e">
        <f>C33+C36+C38+C45</f>
        <v>#REF!</v>
      </c>
      <c r="D32" s="192">
        <f>D33+D36+D38+D45</f>
        <v>1351837.59</v>
      </c>
      <c r="E32" s="192">
        <f>E33+E36+E38+E45</f>
        <v>1727232.67</v>
      </c>
      <c r="F32" s="192" t="e">
        <f>F33+F36+F38+F45</f>
        <v>#REF!</v>
      </c>
    </row>
    <row r="33" spans="1:6" s="170" customFormat="1" ht="19.5" customHeight="1" x14ac:dyDescent="0.25">
      <c r="A33" s="171" t="s">
        <v>98</v>
      </c>
      <c r="B33" s="192">
        <f>B34+B35</f>
        <v>57002.104983741447</v>
      </c>
      <c r="C33" s="192" t="e">
        <f>C34+C35</f>
        <v>#REF!</v>
      </c>
      <c r="D33" s="192">
        <f>D34+D35</f>
        <v>72089</v>
      </c>
      <c r="E33" s="192">
        <f>E34+E35</f>
        <v>171989</v>
      </c>
      <c r="F33" s="192" t="e">
        <f>F34+F35</f>
        <v>#REF!</v>
      </c>
    </row>
    <row r="34" spans="1:6" s="170" customFormat="1" x14ac:dyDescent="0.25">
      <c r="A34" s="172" t="s">
        <v>99</v>
      </c>
      <c r="B34" s="173">
        <f>'POSEBNI DIO'!E13+'POSEBNI DIO'!E15+'POSEBNI DIO'!E36+'POSEBNI DIO'!E83</f>
        <v>2334.9910412104318</v>
      </c>
      <c r="C34" s="173" t="e">
        <f>'POSEBNI DIO'!#REF!+'POSEBNI DIO'!#REF!+'POSEBNI DIO'!#REF!+'POSEBNI DIO'!#REF!</f>
        <v>#REF!</v>
      </c>
      <c r="D34" s="173">
        <f>'POSEBNI DIO'!F11+'POSEBNI DIO'!F15+'POSEBNI DIO'!F36+'POSEBNI DIO'!F83</f>
        <v>11633</v>
      </c>
      <c r="E34" s="173">
        <f>'POSEBNI DIO'!G11+'POSEBNI DIO'!G15+'POSEBNI DIO'!G36+'POSEBNI DIO'!G83+'POSEBNI DIO'!G66</f>
        <v>39783</v>
      </c>
      <c r="F34" s="173">
        <f>'POSEBNI DIO'!H11+'POSEBNI DIO'!H15+'POSEBNI DIO'!H36+'POSEBNI DIO'!H83</f>
        <v>11633</v>
      </c>
    </row>
    <row r="35" spans="1:6" s="170" customFormat="1" ht="15.75" customHeight="1" x14ac:dyDescent="0.25">
      <c r="A35" s="172" t="s">
        <v>104</v>
      </c>
      <c r="B35" s="174">
        <f>'POSEBNI DIO'!E39+'POSEBNI DIO'!E86</f>
        <v>54667.113942531018</v>
      </c>
      <c r="C35" s="173" t="e">
        <f>'POSEBNI DIO'!#REF!+'POSEBNI DIO'!#REF!</f>
        <v>#REF!</v>
      </c>
      <c r="D35" s="173">
        <f>'POSEBNI DIO'!F39+'POSEBNI DIO'!F86</f>
        <v>60456</v>
      </c>
      <c r="E35" s="173">
        <f>'POSEBNI DIO'!G39+'POSEBNI DIO'!G86</f>
        <v>132206</v>
      </c>
      <c r="F35" s="173" t="e">
        <f>'POSEBNI DIO'!H39+'POSEBNI DIO'!H86</f>
        <v>#REF!</v>
      </c>
    </row>
    <row r="36" spans="1:6" s="170" customFormat="1" ht="21" customHeight="1" x14ac:dyDescent="0.25">
      <c r="A36" s="171" t="s">
        <v>103</v>
      </c>
      <c r="B36" s="191">
        <f>B37</f>
        <v>11209.30254164178</v>
      </c>
      <c r="C36" s="191" t="e">
        <f>C37</f>
        <v>#REF!</v>
      </c>
      <c r="D36" s="191">
        <f>D37</f>
        <v>25000</v>
      </c>
      <c r="E36" s="191">
        <f>E37</f>
        <v>52500</v>
      </c>
      <c r="F36" s="191">
        <f>F37</f>
        <v>25000</v>
      </c>
    </row>
    <row r="37" spans="1:6" s="170" customFormat="1" x14ac:dyDescent="0.25">
      <c r="A37" s="172" t="s">
        <v>117</v>
      </c>
      <c r="B37" s="175">
        <f>'POSEBNI DIO'!E23</f>
        <v>11209.30254164178</v>
      </c>
      <c r="C37" s="173" t="e">
        <f>'POSEBNI DIO'!#REF!+'POSEBNI DIO'!#REF!</f>
        <v>#REF!</v>
      </c>
      <c r="D37" s="173">
        <f>'POSEBNI DIO'!F23+'POSEBNI DIO'!F43</f>
        <v>25000</v>
      </c>
      <c r="E37" s="173">
        <f>'POSEBNI DIO'!G23+'POSEBNI DIO'!G43+'POSEBNI DIO'!G70</f>
        <v>52500</v>
      </c>
      <c r="F37" s="173">
        <f>'POSEBNI DIO'!H23+'POSEBNI DIO'!H43</f>
        <v>25000</v>
      </c>
    </row>
    <row r="38" spans="1:6" s="170" customFormat="1" ht="18.75" customHeight="1" x14ac:dyDescent="0.25">
      <c r="A38" s="204" t="s">
        <v>102</v>
      </c>
      <c r="B38" s="192" t="e">
        <f>B39+B41+B42+B43+B44+B40</f>
        <v>#REF!</v>
      </c>
      <c r="C38" s="192" t="e">
        <f>C39+C41+C42+C43+C44+C40+#REF!</f>
        <v>#REF!</v>
      </c>
      <c r="D38" s="192">
        <f>D39+D41+D42+D43+D44+D40</f>
        <v>1234748.5900000001</v>
      </c>
      <c r="E38" s="192">
        <f>E39+E41+E42+E43+E44+E40</f>
        <v>1427391.64</v>
      </c>
      <c r="F38" s="192" t="e">
        <f>F39+F41+F42+F43+F44+F40</f>
        <v>#REF!</v>
      </c>
    </row>
    <row r="39" spans="1:6" s="176" customFormat="1" x14ac:dyDescent="0.25">
      <c r="A39" s="200" t="s">
        <v>118</v>
      </c>
      <c r="B39" s="174" t="e">
        <f>'POSEBNI DIO'!E18+'POSEBNI DIO'!E46</f>
        <v>#REF!</v>
      </c>
      <c r="C39" s="175" t="e">
        <f>'POSEBNI DIO'!#REF!+'POSEBNI DIO'!#REF!</f>
        <v>#REF!</v>
      </c>
      <c r="D39" s="175">
        <f>'POSEBNI DIO'!F18+'POSEBNI DIO'!F46</f>
        <v>1150163</v>
      </c>
      <c r="E39" s="175">
        <f>'POSEBNI DIO'!G18+'POSEBNI DIO'!G46</f>
        <v>1340566.6399999999</v>
      </c>
      <c r="F39" s="175" t="e">
        <f>'POSEBNI DIO'!H18+'POSEBNI DIO'!H46</f>
        <v>#REF!</v>
      </c>
    </row>
    <row r="40" spans="1:6" s="176" customFormat="1" ht="17.25" customHeight="1" x14ac:dyDescent="0.25">
      <c r="A40" s="219" t="s">
        <v>126</v>
      </c>
      <c r="B40" s="218">
        <f>'POSEBNI DIO'!E26</f>
        <v>0</v>
      </c>
      <c r="C40" s="218" t="e">
        <f>'POSEBNI DIO'!#REF!</f>
        <v>#REF!</v>
      </c>
      <c r="D40" s="218">
        <f>'POSEBNI DIO'!F26</f>
        <v>20000</v>
      </c>
      <c r="E40" s="218">
        <f>'POSEBNI DIO'!G26</f>
        <v>10000</v>
      </c>
      <c r="F40" s="218">
        <f>'POSEBNI DIO'!H26</f>
        <v>20000</v>
      </c>
    </row>
    <row r="41" spans="1:6" s="176" customFormat="1" x14ac:dyDescent="0.25">
      <c r="A41" s="201" t="s">
        <v>119</v>
      </c>
      <c r="B41" s="174">
        <f>'POSEBNI DIO'!E29</f>
        <v>7316.6182228415946</v>
      </c>
      <c r="C41" s="174" t="e">
        <f>'POSEBNI DIO'!#REF!</f>
        <v>#REF!</v>
      </c>
      <c r="D41" s="174">
        <f>'POSEBNI DIO'!F29</f>
        <v>9290.59</v>
      </c>
      <c r="E41" s="174">
        <f>'POSEBNI DIO'!G29</f>
        <v>0</v>
      </c>
      <c r="F41" s="174">
        <f>'POSEBNI DIO'!H29</f>
        <v>9290.59</v>
      </c>
    </row>
    <row r="42" spans="1:6" s="176" customFormat="1" x14ac:dyDescent="0.25">
      <c r="A42" s="201" t="s">
        <v>120</v>
      </c>
      <c r="B42" s="174">
        <f>'POSEBNI DIO'!E32</f>
        <v>7982.1089654257075</v>
      </c>
      <c r="C42" s="173" t="e">
        <f>'POSEBNI DIO'!#REF!</f>
        <v>#REF!</v>
      </c>
      <c r="D42" s="173">
        <f>'POSEBNI DIO'!F53</f>
        <v>15000</v>
      </c>
      <c r="E42" s="173">
        <f>'POSEBNI DIO'!G53+'POSEBNI DIO'!G62</f>
        <v>35525</v>
      </c>
      <c r="F42" s="173">
        <f>'POSEBNI DIO'!H53</f>
        <v>15000</v>
      </c>
    </row>
    <row r="43" spans="1:6" s="176" customFormat="1" x14ac:dyDescent="0.25">
      <c r="A43" s="201" t="s">
        <v>121</v>
      </c>
      <c r="B43" s="174" t="e">
        <f>'POSEBNI DIO'!E76</f>
        <v>#REF!</v>
      </c>
      <c r="C43" s="174" t="e">
        <f>'POSEBNI DIO'!#REF!</f>
        <v>#REF!</v>
      </c>
      <c r="D43" s="174">
        <f>'POSEBNI DIO'!F76</f>
        <v>0</v>
      </c>
      <c r="E43" s="174">
        <f>'POSEBNI DIO'!G76</f>
        <v>0</v>
      </c>
      <c r="F43" s="174" t="e">
        <f>'POSEBNI DIO'!H76</f>
        <v>#REF!</v>
      </c>
    </row>
    <row r="44" spans="1:6" s="176" customFormat="1" x14ac:dyDescent="0.25">
      <c r="A44" s="201" t="s">
        <v>122</v>
      </c>
      <c r="B44" s="174">
        <f>'POSEBNI DIO'!E101</f>
        <v>26122.444754131</v>
      </c>
      <c r="C44" s="173" t="e">
        <f>'POSEBNI DIO'!#REF!</f>
        <v>#REF!</v>
      </c>
      <c r="D44" s="173">
        <f>'POSEBNI DIO'!F101</f>
        <v>40295</v>
      </c>
      <c r="E44" s="173">
        <f>'POSEBNI DIO'!G101</f>
        <v>41300</v>
      </c>
      <c r="F44" s="173">
        <f>'POSEBNI DIO'!H101</f>
        <v>40295</v>
      </c>
    </row>
    <row r="45" spans="1:6" s="170" customFormat="1" ht="18" customHeight="1" x14ac:dyDescent="0.25">
      <c r="A45" s="205" t="s">
        <v>101</v>
      </c>
      <c r="B45" s="193">
        <f>B46</f>
        <v>1609.5308248722542</v>
      </c>
      <c r="C45" s="193" t="e">
        <f>C46</f>
        <v>#REF!</v>
      </c>
      <c r="D45" s="193">
        <f>D46</f>
        <v>20000</v>
      </c>
      <c r="E45" s="193">
        <f>E46+E47+E48</f>
        <v>75352.03</v>
      </c>
      <c r="F45" s="193">
        <f>F46</f>
        <v>2000</v>
      </c>
    </row>
    <row r="46" spans="1:6" s="180" customFormat="1" ht="12.75" x14ac:dyDescent="0.2">
      <c r="A46" s="177" t="s">
        <v>124</v>
      </c>
      <c r="B46" s="179">
        <f>'POSEBNI DIO'!E95</f>
        <v>1609.5308248722542</v>
      </c>
      <c r="C46" s="179" t="e">
        <f>'POSEBNI DIO'!#REF!</f>
        <v>#REF!</v>
      </c>
      <c r="D46" s="179">
        <f>'POSEBNI DIO'!F95</f>
        <v>20000</v>
      </c>
      <c r="E46" s="179">
        <f>'POSEBNI DIO'!G95</f>
        <v>36482.9</v>
      </c>
      <c r="F46" s="179">
        <f>'POSEBNI DIO'!H95</f>
        <v>2000</v>
      </c>
    </row>
    <row r="47" spans="1:6" s="170" customFormat="1" x14ac:dyDescent="0.25">
      <c r="A47" s="177" t="s">
        <v>142</v>
      </c>
      <c r="B47" s="178"/>
      <c r="C47" s="178"/>
      <c r="D47" s="178">
        <v>0</v>
      </c>
      <c r="E47" s="275">
        <f>'POSEBNI DIO'!G91</f>
        <v>36869.129999999997</v>
      </c>
      <c r="F47" s="281"/>
    </row>
    <row r="48" spans="1:6" x14ac:dyDescent="0.25">
      <c r="A48" s="177" t="s">
        <v>150</v>
      </c>
      <c r="B48" s="36"/>
      <c r="C48" s="36"/>
      <c r="D48" s="36">
        <v>0</v>
      </c>
      <c r="E48" s="36">
        <v>2000</v>
      </c>
    </row>
  </sheetData>
  <mergeCells count="5">
    <mergeCell ref="A3:F3"/>
    <mergeCell ref="A5:F5"/>
    <mergeCell ref="A7:F7"/>
    <mergeCell ref="A29:F29"/>
    <mergeCell ref="A1:E1"/>
  </mergeCells>
  <phoneticPr fontId="28" type="noConversion"/>
  <pageMargins left="0.7" right="0.7" top="0.75" bottom="0.75" header="0.3" footer="0.3"/>
  <pageSetup paperSize="9" scale="86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5"/>
  <sheetViews>
    <sheetView workbookViewId="0">
      <selection sqref="A1:E1"/>
    </sheetView>
  </sheetViews>
  <sheetFormatPr defaultRowHeight="15" x14ac:dyDescent="0.25"/>
  <cols>
    <col min="1" max="1" width="37.7109375" customWidth="1"/>
    <col min="2" max="3" width="25.28515625" style="78" hidden="1" customWidth="1"/>
    <col min="4" max="5" width="25.28515625" customWidth="1"/>
    <col min="6" max="6" width="25.28515625" hidden="1" customWidth="1"/>
  </cols>
  <sheetData>
    <row r="1" spans="1:10" ht="51" customHeight="1" x14ac:dyDescent="0.25">
      <c r="A1" s="295" t="s">
        <v>151</v>
      </c>
      <c r="B1" s="295"/>
      <c r="C1" s="295"/>
      <c r="D1" s="295"/>
      <c r="E1" s="295"/>
      <c r="F1" s="286"/>
      <c r="G1" s="286"/>
      <c r="H1" s="286"/>
      <c r="I1" s="286"/>
      <c r="J1" s="286"/>
    </row>
    <row r="2" spans="1:10" ht="18" customHeight="1" x14ac:dyDescent="0.25">
      <c r="A2" s="5"/>
      <c r="B2" s="5"/>
      <c r="C2" s="5"/>
      <c r="D2" s="5"/>
      <c r="E2" s="5"/>
      <c r="F2" s="5"/>
    </row>
    <row r="3" spans="1:10" ht="15.75" x14ac:dyDescent="0.25">
      <c r="A3" s="295" t="s">
        <v>24</v>
      </c>
      <c r="B3" s="295"/>
      <c r="C3" s="295"/>
      <c r="D3" s="295"/>
      <c r="E3" s="297"/>
      <c r="F3" s="297"/>
    </row>
    <row r="4" spans="1:10" ht="18" x14ac:dyDescent="0.25">
      <c r="A4" s="5"/>
      <c r="B4" s="5"/>
      <c r="C4" s="5"/>
      <c r="D4" s="5"/>
      <c r="E4" s="6"/>
      <c r="F4" s="6"/>
    </row>
    <row r="5" spans="1:10" ht="18" customHeight="1" x14ac:dyDescent="0.25">
      <c r="A5" s="295" t="s">
        <v>7</v>
      </c>
      <c r="B5" s="296"/>
      <c r="C5" s="296"/>
      <c r="D5" s="296"/>
      <c r="E5" s="296"/>
      <c r="F5" s="296"/>
    </row>
    <row r="6" spans="1:10" ht="18" x14ac:dyDescent="0.25">
      <c r="A6" s="5"/>
      <c r="B6" s="5"/>
      <c r="C6" s="5"/>
      <c r="D6" s="5"/>
      <c r="E6" s="6"/>
      <c r="F6" s="6"/>
    </row>
    <row r="7" spans="1:10" ht="15.75" x14ac:dyDescent="0.25">
      <c r="A7" s="295" t="s">
        <v>17</v>
      </c>
      <c r="B7" s="310"/>
      <c r="C7" s="310"/>
      <c r="D7" s="310"/>
      <c r="E7" s="310"/>
      <c r="F7" s="310"/>
    </row>
    <row r="8" spans="1:10" ht="18" x14ac:dyDescent="0.25">
      <c r="A8" s="5"/>
      <c r="B8" s="5"/>
      <c r="C8" s="5"/>
      <c r="D8" s="5"/>
      <c r="E8" s="6"/>
      <c r="F8" s="6"/>
    </row>
    <row r="9" spans="1:10" ht="25.5" x14ac:dyDescent="0.25">
      <c r="A9" s="21" t="s">
        <v>18</v>
      </c>
      <c r="B9" s="20" t="s">
        <v>89</v>
      </c>
      <c r="C9" s="21" t="s">
        <v>90</v>
      </c>
      <c r="D9" s="41" t="s">
        <v>91</v>
      </c>
      <c r="E9" s="41" t="s">
        <v>136</v>
      </c>
      <c r="F9" s="21" t="s">
        <v>92</v>
      </c>
    </row>
    <row r="10" spans="1:10" ht="15.75" customHeight="1" x14ac:dyDescent="0.25">
      <c r="A10" s="13" t="s">
        <v>19</v>
      </c>
      <c r="B10" s="91" t="e">
        <f>B11</f>
        <v>#REF!</v>
      </c>
      <c r="C10" s="91" t="e">
        <f t="shared" ref="C10:F11" si="0">C11</f>
        <v>#REF!</v>
      </c>
      <c r="D10" s="91">
        <f t="shared" si="0"/>
        <v>1351837.59</v>
      </c>
      <c r="E10" s="91">
        <f t="shared" si="0"/>
        <v>1727232.67</v>
      </c>
      <c r="F10" s="91" t="e">
        <f t="shared" si="0"/>
        <v>#REF!</v>
      </c>
    </row>
    <row r="11" spans="1:10" ht="15.75" customHeight="1" x14ac:dyDescent="0.25">
      <c r="A11" s="85" t="s">
        <v>66</v>
      </c>
      <c r="B11" s="82" t="e">
        <f>B12</f>
        <v>#REF!</v>
      </c>
      <c r="C11" s="119" t="e">
        <f t="shared" si="0"/>
        <v>#REF!</v>
      </c>
      <c r="D11" s="119">
        <f t="shared" si="0"/>
        <v>1351837.59</v>
      </c>
      <c r="E11" s="119">
        <f t="shared" si="0"/>
        <v>1727232.67</v>
      </c>
      <c r="F11" s="119" t="e">
        <f t="shared" si="0"/>
        <v>#REF!</v>
      </c>
    </row>
    <row r="12" spans="1:10" s="224" customFormat="1" x14ac:dyDescent="0.25">
      <c r="A12" s="87" t="s">
        <v>67</v>
      </c>
      <c r="B12" s="256" t="e">
        <f>'POSEBNI DIO'!E9</f>
        <v>#REF!</v>
      </c>
      <c r="C12" s="106" t="e">
        <f>'POSEBNI DIO'!#REF!</f>
        <v>#REF!</v>
      </c>
      <c r="D12" s="106">
        <f>'POSEBNI DIO'!F9</f>
        <v>1351837.59</v>
      </c>
      <c r="E12" s="106">
        <f>'POSEBNI DIO'!G9</f>
        <v>1727232.67</v>
      </c>
      <c r="F12" s="106" t="e">
        <f>'POSEBNI DIO'!H9</f>
        <v>#REF!</v>
      </c>
    </row>
    <row r="13" spans="1:10" x14ac:dyDescent="0.25">
      <c r="A13" s="86"/>
      <c r="B13" s="82"/>
      <c r="C13" s="83"/>
      <c r="D13" s="83"/>
      <c r="E13" s="83"/>
      <c r="F13" s="83"/>
    </row>
    <row r="14" spans="1:10" x14ac:dyDescent="0.25">
      <c r="A14" s="13"/>
      <c r="B14" s="79"/>
      <c r="C14" s="80"/>
      <c r="D14" s="11"/>
      <c r="E14" s="11"/>
      <c r="F14" s="12"/>
    </row>
    <row r="15" spans="1:10" x14ac:dyDescent="0.25">
      <c r="A15" s="19"/>
      <c r="B15" s="79"/>
      <c r="C15" s="80"/>
      <c r="D15" s="11"/>
      <c r="E15" s="11"/>
      <c r="F15" s="12"/>
    </row>
  </sheetData>
  <mergeCells count="4">
    <mergeCell ref="A3:F3"/>
    <mergeCell ref="A5:F5"/>
    <mergeCell ref="A7:F7"/>
    <mergeCell ref="A1:E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4"/>
  <sheetViews>
    <sheetView workbookViewId="0">
      <selection sqref="A1:J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33.7109375" customWidth="1"/>
    <col min="5" max="6" width="25.28515625" hidden="1" customWidth="1"/>
    <col min="7" max="8" width="25.28515625" customWidth="1"/>
    <col min="9" max="9" width="25.28515625" hidden="1" customWidth="1"/>
  </cols>
  <sheetData>
    <row r="1" spans="1:10" ht="51" customHeight="1" x14ac:dyDescent="0.25">
      <c r="A1" s="295" t="s">
        <v>151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0" ht="15.75" x14ac:dyDescent="0.25">
      <c r="A3" s="295" t="s">
        <v>24</v>
      </c>
      <c r="B3" s="295"/>
      <c r="C3" s="295"/>
      <c r="D3" s="295"/>
      <c r="E3" s="295"/>
      <c r="F3" s="295"/>
      <c r="G3" s="295"/>
      <c r="H3" s="297"/>
      <c r="I3" s="297"/>
    </row>
    <row r="4" spans="1:10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0" ht="18" customHeight="1" x14ac:dyDescent="0.25">
      <c r="A5" s="295" t="s">
        <v>20</v>
      </c>
      <c r="B5" s="296"/>
      <c r="C5" s="296"/>
      <c r="D5" s="296"/>
      <c r="E5" s="296"/>
      <c r="F5" s="296"/>
      <c r="G5" s="296"/>
      <c r="H5" s="296"/>
      <c r="I5" s="296"/>
    </row>
    <row r="6" spans="1:10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10" ht="25.5" x14ac:dyDescent="0.25">
      <c r="A7" s="21" t="s">
        <v>8</v>
      </c>
      <c r="B7" s="20" t="s">
        <v>9</v>
      </c>
      <c r="C7" s="20" t="s">
        <v>10</v>
      </c>
      <c r="D7" s="20" t="s">
        <v>38</v>
      </c>
      <c r="E7" s="20" t="s">
        <v>89</v>
      </c>
      <c r="F7" s="21" t="s">
        <v>90</v>
      </c>
      <c r="G7" s="41" t="s">
        <v>91</v>
      </c>
      <c r="H7" s="41" t="s">
        <v>136</v>
      </c>
      <c r="I7" s="21" t="s">
        <v>92</v>
      </c>
    </row>
    <row r="8" spans="1:10" ht="25.5" x14ac:dyDescent="0.25">
      <c r="A8" s="13">
        <v>8</v>
      </c>
      <c r="B8" s="13"/>
      <c r="C8" s="13"/>
      <c r="D8" s="13" t="s">
        <v>21</v>
      </c>
      <c r="E8" s="10">
        <v>0</v>
      </c>
      <c r="F8" s="11">
        <v>0</v>
      </c>
      <c r="G8" s="11">
        <v>0</v>
      </c>
      <c r="H8" s="11">
        <v>0</v>
      </c>
      <c r="I8" s="11">
        <v>0</v>
      </c>
    </row>
    <row r="9" spans="1:10" x14ac:dyDescent="0.25">
      <c r="A9" s="13"/>
      <c r="B9" s="17">
        <v>84</v>
      </c>
      <c r="C9" s="17"/>
      <c r="D9" s="17" t="s">
        <v>28</v>
      </c>
      <c r="E9" s="10"/>
      <c r="F9" s="11"/>
      <c r="G9" s="11"/>
      <c r="H9" s="11"/>
      <c r="I9" s="11"/>
    </row>
    <row r="10" spans="1:10" x14ac:dyDescent="0.25">
      <c r="A10" s="14"/>
      <c r="B10" s="14"/>
      <c r="C10" s="15">
        <v>81</v>
      </c>
      <c r="D10" s="18" t="s">
        <v>29</v>
      </c>
      <c r="E10" s="10"/>
      <c r="F10" s="11"/>
      <c r="G10" s="11"/>
      <c r="H10" s="11"/>
      <c r="I10" s="11"/>
    </row>
    <row r="11" spans="1:10" ht="25.5" x14ac:dyDescent="0.25">
      <c r="A11" s="16">
        <v>5</v>
      </c>
      <c r="B11" s="16"/>
      <c r="C11" s="16"/>
      <c r="D11" s="23" t="s">
        <v>22</v>
      </c>
      <c r="E11" s="10">
        <v>0</v>
      </c>
      <c r="F11" s="11">
        <v>0</v>
      </c>
      <c r="G11" s="11">
        <v>0</v>
      </c>
      <c r="H11" s="11">
        <v>0</v>
      </c>
      <c r="I11" s="11">
        <v>0</v>
      </c>
    </row>
    <row r="12" spans="1:10" ht="25.5" x14ac:dyDescent="0.25">
      <c r="A12" s="17"/>
      <c r="B12" s="17">
        <v>54</v>
      </c>
      <c r="C12" s="17"/>
      <c r="D12" s="24" t="s">
        <v>30</v>
      </c>
      <c r="E12" s="10"/>
      <c r="F12" s="11"/>
      <c r="G12" s="11"/>
      <c r="H12" s="11"/>
      <c r="I12" s="12"/>
    </row>
    <row r="13" spans="1:10" x14ac:dyDescent="0.25">
      <c r="A13" s="17"/>
      <c r="B13" s="17"/>
      <c r="C13" s="15">
        <v>11</v>
      </c>
      <c r="D13" s="15" t="s">
        <v>12</v>
      </c>
      <c r="E13" s="10"/>
      <c r="F13" s="11"/>
      <c r="G13" s="11"/>
      <c r="H13" s="11"/>
      <c r="I13" s="12"/>
    </row>
    <row r="14" spans="1:10" x14ac:dyDescent="0.25">
      <c r="A14" s="17"/>
      <c r="B14" s="17"/>
      <c r="C14" s="15">
        <v>31</v>
      </c>
      <c r="D14" s="15" t="s">
        <v>31</v>
      </c>
      <c r="E14" s="10"/>
      <c r="F14" s="11"/>
      <c r="G14" s="11"/>
      <c r="H14" s="11"/>
      <c r="I14" s="12"/>
    </row>
  </sheetData>
  <mergeCells count="3">
    <mergeCell ref="A3:I3"/>
    <mergeCell ref="A5:I5"/>
    <mergeCell ref="A1:J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07"/>
  <sheetViews>
    <sheetView tabSelected="1" topLeftCell="A62" workbookViewId="0">
      <selection activeCell="A100" sqref="A100:C10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4.28515625" customWidth="1"/>
    <col min="5" max="5" width="25.28515625" hidden="1" customWidth="1"/>
    <col min="6" max="6" width="25.28515625" customWidth="1"/>
    <col min="7" max="7" width="23.42578125" customWidth="1"/>
    <col min="8" max="8" width="0.7109375" hidden="1" customWidth="1"/>
  </cols>
  <sheetData>
    <row r="1" spans="1:9" ht="47.25" customHeight="1" x14ac:dyDescent="0.25">
      <c r="A1" s="295" t="s">
        <v>151</v>
      </c>
      <c r="B1" s="295"/>
      <c r="C1" s="295"/>
      <c r="D1" s="295"/>
      <c r="E1" s="295"/>
      <c r="F1" s="295"/>
      <c r="G1" s="295"/>
      <c r="H1" s="295"/>
      <c r="I1" s="295"/>
    </row>
    <row r="2" spans="1:9" ht="18" x14ac:dyDescent="0.25">
      <c r="A2" s="5"/>
      <c r="B2" s="5"/>
      <c r="C2" s="5"/>
      <c r="D2" s="5"/>
      <c r="E2" s="5"/>
      <c r="F2" s="5"/>
      <c r="G2" s="6"/>
      <c r="H2" s="6"/>
    </row>
    <row r="3" spans="1:9" ht="18" customHeight="1" x14ac:dyDescent="0.25">
      <c r="A3" s="295" t="s">
        <v>23</v>
      </c>
      <c r="B3" s="296"/>
      <c r="C3" s="296"/>
      <c r="D3" s="296"/>
      <c r="E3" s="296"/>
      <c r="F3" s="296"/>
      <c r="G3" s="296"/>
      <c r="H3" s="296"/>
    </row>
    <row r="4" spans="1:9" ht="38.25" x14ac:dyDescent="0.25">
      <c r="A4" s="5"/>
      <c r="B4" s="5"/>
      <c r="C4" s="5"/>
      <c r="D4" s="5"/>
      <c r="E4" s="5"/>
      <c r="F4" s="5"/>
      <c r="G4" s="6"/>
      <c r="H4" s="34" t="s">
        <v>39</v>
      </c>
    </row>
    <row r="5" spans="1:9" ht="42.75" customHeight="1" x14ac:dyDescent="0.25">
      <c r="A5" s="320" t="s">
        <v>25</v>
      </c>
      <c r="B5" s="321"/>
      <c r="C5" s="322"/>
      <c r="D5" s="40" t="s">
        <v>26</v>
      </c>
      <c r="E5" s="40" t="s">
        <v>89</v>
      </c>
      <c r="F5" s="41" t="s">
        <v>91</v>
      </c>
      <c r="G5" s="41" t="s">
        <v>136</v>
      </c>
      <c r="H5" s="41" t="s">
        <v>92</v>
      </c>
    </row>
    <row r="6" spans="1:9" s="170" customFormat="1" ht="38.25" x14ac:dyDescent="0.25">
      <c r="A6" s="323" t="s">
        <v>105</v>
      </c>
      <c r="B6" s="324"/>
      <c r="C6" s="325"/>
      <c r="D6" s="183" t="s">
        <v>137</v>
      </c>
      <c r="E6" s="181"/>
      <c r="F6" s="182"/>
      <c r="G6" s="182"/>
      <c r="H6" s="182"/>
    </row>
    <row r="7" spans="1:9" s="170" customFormat="1" x14ac:dyDescent="0.25">
      <c r="A7" s="323" t="s">
        <v>106</v>
      </c>
      <c r="B7" s="324"/>
      <c r="C7" s="325"/>
      <c r="D7" s="183" t="s">
        <v>107</v>
      </c>
      <c r="E7" s="181"/>
      <c r="F7" s="182"/>
      <c r="G7" s="182"/>
      <c r="H7" s="182"/>
    </row>
    <row r="8" spans="1:9" s="170" customFormat="1" ht="15.75" x14ac:dyDescent="0.25">
      <c r="A8" s="323" t="s">
        <v>108</v>
      </c>
      <c r="B8" s="324"/>
      <c r="C8" s="325"/>
      <c r="D8" s="183" t="s">
        <v>109</v>
      </c>
      <c r="E8" s="181"/>
      <c r="F8" s="288">
        <f>F9</f>
        <v>1351837.59</v>
      </c>
      <c r="G8" s="288">
        <f>G9</f>
        <v>1727232.67</v>
      </c>
      <c r="H8" s="182"/>
    </row>
    <row r="9" spans="1:9" s="161" customFormat="1" x14ac:dyDescent="0.25">
      <c r="A9" s="317" t="s">
        <v>40</v>
      </c>
      <c r="B9" s="318"/>
      <c r="C9" s="319"/>
      <c r="D9" s="210" t="s">
        <v>41</v>
      </c>
      <c r="E9" s="97" t="e">
        <f>E10+E14+E35+E75+E82+E94+E100</f>
        <v>#REF!</v>
      </c>
      <c r="F9" s="97">
        <f>F10+F14+F35+F75+F82+F94+F100</f>
        <v>1351837.59</v>
      </c>
      <c r="G9" s="97">
        <f>G10+G14+G35+G75+G82+G94+G100+G61</f>
        <v>1727232.67</v>
      </c>
      <c r="H9" s="97" t="e">
        <f>H10+H14+H35+H75+H82+H94+H100</f>
        <v>#REF!</v>
      </c>
    </row>
    <row r="10" spans="1:9" ht="15" customHeight="1" x14ac:dyDescent="0.25">
      <c r="A10" s="314" t="s">
        <v>42</v>
      </c>
      <c r="B10" s="315"/>
      <c r="C10" s="316"/>
      <c r="D10" s="51" t="s">
        <v>130</v>
      </c>
      <c r="E10" s="47">
        <f>SUM(E12)</f>
        <v>637.06948039020506</v>
      </c>
      <c r="F10" s="143">
        <f>SUM(F12)</f>
        <v>11633</v>
      </c>
      <c r="G10" s="143">
        <f>SUM(G12)</f>
        <v>11633</v>
      </c>
      <c r="H10" s="143">
        <f>SUM(H12)</f>
        <v>11633</v>
      </c>
    </row>
    <row r="11" spans="1:9" ht="15" customHeight="1" x14ac:dyDescent="0.25">
      <c r="A11" s="311" t="s">
        <v>43</v>
      </c>
      <c r="B11" s="312"/>
      <c r="C11" s="313"/>
      <c r="D11" s="55" t="s">
        <v>12</v>
      </c>
      <c r="E11" s="50">
        <f>E12</f>
        <v>637.06948039020506</v>
      </c>
      <c r="F11" s="68">
        <f>F12</f>
        <v>11633</v>
      </c>
      <c r="G11" s="68">
        <f>G12</f>
        <v>11633</v>
      </c>
      <c r="H11" s="68">
        <f>H12</f>
        <v>11633</v>
      </c>
    </row>
    <row r="12" spans="1:9" x14ac:dyDescent="0.25">
      <c r="A12" s="317">
        <v>3</v>
      </c>
      <c r="B12" s="318"/>
      <c r="C12" s="319"/>
      <c r="D12" s="43" t="s">
        <v>14</v>
      </c>
      <c r="E12" s="195">
        <f>E13</f>
        <v>637.06948039020506</v>
      </c>
      <c r="F12" s="98">
        <f>F13</f>
        <v>11633</v>
      </c>
      <c r="G12" s="98">
        <f t="shared" ref="G12:H12" si="0">G13</f>
        <v>11633</v>
      </c>
      <c r="H12" s="98">
        <f t="shared" si="0"/>
        <v>11633</v>
      </c>
    </row>
    <row r="13" spans="1:9" x14ac:dyDescent="0.25">
      <c r="A13" s="326">
        <v>32</v>
      </c>
      <c r="B13" s="327"/>
      <c r="C13" s="328"/>
      <c r="D13" s="42" t="s">
        <v>27</v>
      </c>
      <c r="E13" s="194">
        <f>4800/7.5345</f>
        <v>637.06948039020506</v>
      </c>
      <c r="F13" s="120">
        <v>11633</v>
      </c>
      <c r="G13" s="120">
        <v>11633</v>
      </c>
      <c r="H13" s="120">
        <v>11633</v>
      </c>
    </row>
    <row r="14" spans="1:9" x14ac:dyDescent="0.25">
      <c r="A14" s="314" t="s">
        <v>49</v>
      </c>
      <c r="B14" s="315"/>
      <c r="C14" s="316"/>
      <c r="D14" s="51" t="s">
        <v>55</v>
      </c>
      <c r="E14" s="147">
        <f>SUM(E16,E19,E24,E27,E30,E33)</f>
        <v>28205.95129072931</v>
      </c>
      <c r="F14" s="47">
        <f>SUM(F16,F18,F23,F26,F29,F32)</f>
        <v>94290.59</v>
      </c>
      <c r="G14" s="147">
        <f>SUM(G16,G18,G23,G26,G29,G32)</f>
        <v>113166.64</v>
      </c>
      <c r="H14" s="147">
        <f t="shared" ref="H14" si="1">SUM(H16,H18,H23,H26,H29,H32)</f>
        <v>94290.59</v>
      </c>
    </row>
    <row r="15" spans="1:9" x14ac:dyDescent="0.25">
      <c r="A15" s="311" t="s">
        <v>43</v>
      </c>
      <c r="B15" s="312"/>
      <c r="C15" s="313"/>
      <c r="D15" s="56" t="s">
        <v>12</v>
      </c>
      <c r="E15" s="50">
        <f>E16</f>
        <v>1697.9215608202269</v>
      </c>
      <c r="F15" s="68">
        <f t="shared" ref="F15:H16" si="2">F16</f>
        <v>0</v>
      </c>
      <c r="G15" s="68">
        <f t="shared" si="2"/>
        <v>0</v>
      </c>
      <c r="H15" s="68">
        <f t="shared" si="2"/>
        <v>0</v>
      </c>
    </row>
    <row r="16" spans="1:9" x14ac:dyDescent="0.25">
      <c r="A16" s="317">
        <v>3</v>
      </c>
      <c r="B16" s="318"/>
      <c r="C16" s="319"/>
      <c r="D16" s="43" t="s">
        <v>14</v>
      </c>
      <c r="E16" s="48">
        <f>E17</f>
        <v>1697.9215608202269</v>
      </c>
      <c r="F16" s="52">
        <f t="shared" si="2"/>
        <v>0</v>
      </c>
      <c r="G16" s="52">
        <f t="shared" si="2"/>
        <v>0</v>
      </c>
      <c r="H16" s="52">
        <f t="shared" si="2"/>
        <v>0</v>
      </c>
    </row>
    <row r="17" spans="1:10" ht="15" customHeight="1" x14ac:dyDescent="0.25">
      <c r="A17" s="44">
        <v>32</v>
      </c>
      <c r="B17" s="45"/>
      <c r="C17" s="46"/>
      <c r="D17" s="42" t="s">
        <v>27</v>
      </c>
      <c r="E17" s="37">
        <f>12792.99/7.5345</f>
        <v>1697.9215608202269</v>
      </c>
      <c r="F17" s="120">
        <v>0</v>
      </c>
      <c r="G17" s="120">
        <v>0</v>
      </c>
      <c r="H17" s="120">
        <v>0</v>
      </c>
    </row>
    <row r="18" spans="1:10" s="118" customFormat="1" x14ac:dyDescent="0.25">
      <c r="A18" s="311" t="s">
        <v>47</v>
      </c>
      <c r="B18" s="312"/>
      <c r="C18" s="313"/>
      <c r="D18" s="101" t="s">
        <v>48</v>
      </c>
      <c r="E18" s="99">
        <f>E19</f>
        <v>0</v>
      </c>
      <c r="F18" s="99">
        <f t="shared" ref="F18:H19" si="3">F19</f>
        <v>50000</v>
      </c>
      <c r="G18" s="99">
        <f>G19+G21</f>
        <v>88166.64</v>
      </c>
      <c r="H18" s="99">
        <f t="shared" si="3"/>
        <v>50000</v>
      </c>
      <c r="J18" s="75"/>
    </row>
    <row r="19" spans="1:10" s="118" customFormat="1" x14ac:dyDescent="0.25">
      <c r="A19" s="262">
        <v>3</v>
      </c>
      <c r="B19" s="267"/>
      <c r="C19" s="268"/>
      <c r="D19" s="149" t="s">
        <v>14</v>
      </c>
      <c r="E19" s="97">
        <v>0</v>
      </c>
      <c r="F19" s="52">
        <f>F20</f>
        <v>50000</v>
      </c>
      <c r="G19" s="52">
        <f t="shared" si="3"/>
        <v>80000</v>
      </c>
      <c r="H19" s="52">
        <f t="shared" si="3"/>
        <v>50000</v>
      </c>
    </row>
    <row r="20" spans="1:10" s="118" customFormat="1" ht="15" customHeight="1" x14ac:dyDescent="0.25">
      <c r="A20" s="150">
        <v>32</v>
      </c>
      <c r="B20" s="151"/>
      <c r="C20" s="152"/>
      <c r="D20" s="88" t="s">
        <v>27</v>
      </c>
      <c r="E20" s="119">
        <v>0</v>
      </c>
      <c r="F20" s="120">
        <v>50000</v>
      </c>
      <c r="G20" s="120">
        <v>80000</v>
      </c>
      <c r="H20" s="120">
        <v>50000</v>
      </c>
    </row>
    <row r="21" spans="1:10" s="118" customFormat="1" ht="15" customHeight="1" x14ac:dyDescent="0.25">
      <c r="A21" s="270">
        <v>9</v>
      </c>
      <c r="B21" s="267"/>
      <c r="C21" s="268"/>
      <c r="D21" s="271" t="s">
        <v>129</v>
      </c>
      <c r="E21" s="119"/>
      <c r="F21" s="98">
        <v>0</v>
      </c>
      <c r="G21" s="98">
        <f>G22</f>
        <v>8166.64</v>
      </c>
      <c r="H21" s="120"/>
    </row>
    <row r="22" spans="1:10" s="118" customFormat="1" ht="15" customHeight="1" x14ac:dyDescent="0.25">
      <c r="A22" s="272">
        <v>92</v>
      </c>
      <c r="B22" s="273"/>
      <c r="C22" s="274"/>
      <c r="D22" s="88" t="s">
        <v>129</v>
      </c>
      <c r="E22" s="119"/>
      <c r="F22" s="120">
        <v>0</v>
      </c>
      <c r="G22" s="120">
        <v>8166.64</v>
      </c>
      <c r="H22" s="120"/>
    </row>
    <row r="23" spans="1:10" x14ac:dyDescent="0.25">
      <c r="A23" s="311" t="s">
        <v>44</v>
      </c>
      <c r="B23" s="312"/>
      <c r="C23" s="313"/>
      <c r="D23" s="56" t="s">
        <v>45</v>
      </c>
      <c r="E23" s="50">
        <f>E24</f>
        <v>11209.30254164178</v>
      </c>
      <c r="F23" s="68">
        <f t="shared" ref="F23:H24" si="4">F24</f>
        <v>15000</v>
      </c>
      <c r="G23" s="68">
        <f t="shared" si="4"/>
        <v>15000</v>
      </c>
      <c r="H23" s="68">
        <f t="shared" si="4"/>
        <v>15000</v>
      </c>
    </row>
    <row r="24" spans="1:10" x14ac:dyDescent="0.25">
      <c r="A24" s="262">
        <v>3</v>
      </c>
      <c r="B24" s="45"/>
      <c r="C24" s="46"/>
      <c r="D24" s="196" t="s">
        <v>14</v>
      </c>
      <c r="E24" s="54">
        <f>E25</f>
        <v>11209.30254164178</v>
      </c>
      <c r="F24" s="52">
        <f t="shared" si="4"/>
        <v>15000</v>
      </c>
      <c r="G24" s="52">
        <f t="shared" si="4"/>
        <v>15000</v>
      </c>
      <c r="H24" s="52">
        <f t="shared" si="4"/>
        <v>15000</v>
      </c>
    </row>
    <row r="25" spans="1:10" x14ac:dyDescent="0.25">
      <c r="A25" s="44">
        <v>32</v>
      </c>
      <c r="B25" s="45"/>
      <c r="C25" s="46"/>
      <c r="D25" s="88" t="s">
        <v>27</v>
      </c>
      <c r="E25" s="38">
        <f>84456.49/7.5345</f>
        <v>11209.30254164178</v>
      </c>
      <c r="F25" s="38">
        <v>15000</v>
      </c>
      <c r="G25" s="38">
        <v>15000</v>
      </c>
      <c r="H25" s="38">
        <v>15000</v>
      </c>
    </row>
    <row r="26" spans="1:10" ht="25.5" x14ac:dyDescent="0.25">
      <c r="A26" s="311" t="s">
        <v>82</v>
      </c>
      <c r="B26" s="312"/>
      <c r="C26" s="313"/>
      <c r="D26" s="56" t="s">
        <v>50</v>
      </c>
      <c r="E26" s="50">
        <f>E27</f>
        <v>0</v>
      </c>
      <c r="F26" s="99">
        <f t="shared" ref="F26:H27" si="5">F27</f>
        <v>20000</v>
      </c>
      <c r="G26" s="99">
        <f t="shared" si="5"/>
        <v>10000</v>
      </c>
      <c r="H26" s="99">
        <f t="shared" si="5"/>
        <v>20000</v>
      </c>
    </row>
    <row r="27" spans="1:10" x14ac:dyDescent="0.25">
      <c r="A27" s="262">
        <v>3</v>
      </c>
      <c r="B27" s="45"/>
      <c r="C27" s="46"/>
      <c r="D27" s="43" t="s">
        <v>14</v>
      </c>
      <c r="E27" s="35">
        <v>0</v>
      </c>
      <c r="F27" s="49">
        <f>F28</f>
        <v>20000</v>
      </c>
      <c r="G27" s="98">
        <f t="shared" si="5"/>
        <v>10000</v>
      </c>
      <c r="H27" s="98">
        <f t="shared" si="5"/>
        <v>20000</v>
      </c>
    </row>
    <row r="28" spans="1:10" x14ac:dyDescent="0.25">
      <c r="A28" s="44">
        <v>32</v>
      </c>
      <c r="B28" s="45"/>
      <c r="C28" s="46"/>
      <c r="D28" s="42" t="s">
        <v>27</v>
      </c>
      <c r="E28" s="36">
        <v>0</v>
      </c>
      <c r="F28" s="38">
        <v>20000</v>
      </c>
      <c r="G28" s="120">
        <v>10000</v>
      </c>
      <c r="H28" s="120">
        <v>20000</v>
      </c>
    </row>
    <row r="29" spans="1:10" ht="25.5" x14ac:dyDescent="0.25">
      <c r="A29" s="311" t="s">
        <v>51</v>
      </c>
      <c r="B29" s="312"/>
      <c r="C29" s="313"/>
      <c r="D29" s="56" t="s">
        <v>52</v>
      </c>
      <c r="E29" s="50">
        <f>E30</f>
        <v>7316.6182228415946</v>
      </c>
      <c r="F29" s="99">
        <f>F30</f>
        <v>9290.59</v>
      </c>
      <c r="G29" s="99">
        <f>G30</f>
        <v>0</v>
      </c>
      <c r="H29" s="99">
        <f>H30</f>
        <v>9290.59</v>
      </c>
    </row>
    <row r="30" spans="1:10" x14ac:dyDescent="0.25">
      <c r="A30" s="262">
        <v>3</v>
      </c>
      <c r="B30" s="45"/>
      <c r="C30" s="46"/>
      <c r="D30" s="43" t="s">
        <v>14</v>
      </c>
      <c r="E30" s="48">
        <f>E31</f>
        <v>7316.6182228415946</v>
      </c>
      <c r="F30" s="98">
        <v>9290.59</v>
      </c>
      <c r="G30" s="98">
        <f>G31</f>
        <v>0</v>
      </c>
      <c r="H30" s="98">
        <v>9290.59</v>
      </c>
    </row>
    <row r="31" spans="1:10" x14ac:dyDescent="0.25">
      <c r="A31" s="44">
        <v>32</v>
      </c>
      <c r="B31" s="45"/>
      <c r="C31" s="46"/>
      <c r="D31" s="42" t="s">
        <v>27</v>
      </c>
      <c r="E31" s="37">
        <f>55127.06/7.5345</f>
        <v>7316.6182228415946</v>
      </c>
      <c r="F31" s="120">
        <v>9291</v>
      </c>
      <c r="G31" s="120">
        <v>0</v>
      </c>
      <c r="H31" s="120">
        <v>9291</v>
      </c>
    </row>
    <row r="32" spans="1:10" ht="25.5" x14ac:dyDescent="0.25">
      <c r="A32" s="311" t="s">
        <v>53</v>
      </c>
      <c r="B32" s="312"/>
      <c r="C32" s="313"/>
      <c r="D32" s="56" t="s">
        <v>54</v>
      </c>
      <c r="E32" s="50">
        <f>E33</f>
        <v>7982.1089654257075</v>
      </c>
      <c r="F32" s="99">
        <f>F33</f>
        <v>0</v>
      </c>
      <c r="G32" s="99">
        <f>G33</f>
        <v>0</v>
      </c>
      <c r="H32" s="99">
        <f>H33</f>
        <v>0</v>
      </c>
    </row>
    <row r="33" spans="1:10" x14ac:dyDescent="0.25">
      <c r="A33" s="262">
        <v>3</v>
      </c>
      <c r="B33" s="45"/>
      <c r="C33" s="46"/>
      <c r="D33" s="43" t="s">
        <v>14</v>
      </c>
      <c r="E33" s="48">
        <f>E34</f>
        <v>7982.1089654257075</v>
      </c>
      <c r="F33" s="98">
        <v>0</v>
      </c>
      <c r="G33" s="98">
        <v>0</v>
      </c>
      <c r="H33" s="98">
        <v>0</v>
      </c>
    </row>
    <row r="34" spans="1:10" x14ac:dyDescent="0.25">
      <c r="A34" s="44">
        <v>32</v>
      </c>
      <c r="B34" s="45"/>
      <c r="C34" s="46"/>
      <c r="D34" s="42" t="s">
        <v>27</v>
      </c>
      <c r="E34" s="37">
        <f>60141.2/7.5345</f>
        <v>7982.1089654257075</v>
      </c>
      <c r="F34" s="120">
        <v>0</v>
      </c>
      <c r="G34" s="120">
        <v>0</v>
      </c>
      <c r="H34" s="120">
        <v>0</v>
      </c>
    </row>
    <row r="35" spans="1:10" ht="15" customHeight="1" x14ac:dyDescent="0.25">
      <c r="A35" s="314" t="s">
        <v>56</v>
      </c>
      <c r="B35" s="315"/>
      <c r="C35" s="316"/>
      <c r="D35" s="51" t="s">
        <v>57</v>
      </c>
      <c r="E35" s="47" t="e">
        <f>SUM(E40,#REF!,E43,E36,E53,E91)</f>
        <v>#REF!</v>
      </c>
      <c r="F35" s="147">
        <f>SUM(F39,F46,F43,F36,F53,F91)</f>
        <v>1177656</v>
      </c>
      <c r="G35" s="147">
        <f>SUM(G39,G46,G43,G36,G53+G58)</f>
        <v>1389943</v>
      </c>
      <c r="H35" s="147" t="e">
        <f>SUM(H39,H46,H43,H36,H53,H91)</f>
        <v>#REF!</v>
      </c>
    </row>
    <row r="36" spans="1:10" x14ac:dyDescent="0.25">
      <c r="A36" s="311" t="s">
        <v>43</v>
      </c>
      <c r="B36" s="312"/>
      <c r="C36" s="313"/>
      <c r="D36" s="56" t="s">
        <v>12</v>
      </c>
      <c r="E36" s="50">
        <f>E37</f>
        <v>0</v>
      </c>
      <c r="F36" s="99">
        <f>F37</f>
        <v>0</v>
      </c>
      <c r="G36" s="99">
        <f>G37</f>
        <v>0</v>
      </c>
      <c r="H36" s="99">
        <f>H37</f>
        <v>0</v>
      </c>
    </row>
    <row r="37" spans="1:10" x14ac:dyDescent="0.25">
      <c r="A37" s="262">
        <v>3</v>
      </c>
      <c r="B37" s="45"/>
      <c r="C37" s="46"/>
      <c r="D37" s="43" t="s">
        <v>14</v>
      </c>
      <c r="E37" s="48">
        <v>0</v>
      </c>
      <c r="F37" s="52">
        <v>0</v>
      </c>
      <c r="G37" s="52">
        <v>0</v>
      </c>
      <c r="H37" s="53">
        <v>0</v>
      </c>
    </row>
    <row r="38" spans="1:10" x14ac:dyDescent="0.25">
      <c r="A38" s="44">
        <v>32</v>
      </c>
      <c r="B38" s="45"/>
      <c r="C38" s="46"/>
      <c r="D38" s="42" t="s">
        <v>27</v>
      </c>
      <c r="E38" s="37">
        <v>0</v>
      </c>
      <c r="F38" s="38">
        <v>0</v>
      </c>
      <c r="G38" s="38">
        <v>0</v>
      </c>
      <c r="H38" s="39">
        <v>0</v>
      </c>
    </row>
    <row r="39" spans="1:10" x14ac:dyDescent="0.25">
      <c r="A39" s="311" t="s">
        <v>58</v>
      </c>
      <c r="B39" s="312"/>
      <c r="C39" s="313"/>
      <c r="D39" s="56" t="s">
        <v>59</v>
      </c>
      <c r="E39" s="50">
        <f>E40</f>
        <v>50965.558431216399</v>
      </c>
      <c r="F39" s="99">
        <f>F40</f>
        <v>52493</v>
      </c>
      <c r="G39" s="99">
        <f>G40</f>
        <v>101243</v>
      </c>
      <c r="H39" s="99">
        <f>H40</f>
        <v>52493</v>
      </c>
      <c r="J39" s="75"/>
    </row>
    <row r="40" spans="1:10" x14ac:dyDescent="0.25">
      <c r="A40" s="262">
        <v>3</v>
      </c>
      <c r="B40" s="45"/>
      <c r="C40" s="46"/>
      <c r="D40" s="43" t="s">
        <v>14</v>
      </c>
      <c r="E40" s="48">
        <f>E41+E42</f>
        <v>50965.558431216399</v>
      </c>
      <c r="F40" s="52">
        <f>F41+F42</f>
        <v>52493</v>
      </c>
      <c r="G40" s="52">
        <f>G41+G42</f>
        <v>101243</v>
      </c>
      <c r="H40" s="52">
        <f>H41+H42</f>
        <v>52493</v>
      </c>
    </row>
    <row r="41" spans="1:10" x14ac:dyDescent="0.25">
      <c r="A41" s="44">
        <v>32</v>
      </c>
      <c r="B41" s="45"/>
      <c r="C41" s="46"/>
      <c r="D41" s="42" t="s">
        <v>60</v>
      </c>
      <c r="E41" s="37">
        <f>376987.5/7.5345</f>
        <v>50034.839737208837</v>
      </c>
      <c r="F41" s="38">
        <v>51636</v>
      </c>
      <c r="G41" s="120">
        <f>52686+47700</f>
        <v>100386</v>
      </c>
      <c r="H41" s="120">
        <v>51636</v>
      </c>
    </row>
    <row r="42" spans="1:10" x14ac:dyDescent="0.25">
      <c r="A42" s="44">
        <v>34</v>
      </c>
      <c r="B42" s="45"/>
      <c r="C42" s="46"/>
      <c r="D42" s="42" t="s">
        <v>46</v>
      </c>
      <c r="E42" s="37">
        <f>7012.5/7.5345</f>
        <v>930.7186940075652</v>
      </c>
      <c r="F42" s="38">
        <v>857</v>
      </c>
      <c r="G42" s="120">
        <v>857</v>
      </c>
      <c r="H42" s="120">
        <v>857</v>
      </c>
    </row>
    <row r="43" spans="1:10" s="118" customFormat="1" ht="25.5" customHeight="1" x14ac:dyDescent="0.25">
      <c r="A43" s="311" t="s">
        <v>44</v>
      </c>
      <c r="B43" s="312"/>
      <c r="C43" s="313"/>
      <c r="D43" s="101" t="s">
        <v>45</v>
      </c>
      <c r="E43" s="99">
        <f>E44</f>
        <v>0</v>
      </c>
      <c r="F43" s="99">
        <f t="shared" ref="F43:H44" si="6">F44</f>
        <v>10000</v>
      </c>
      <c r="G43" s="99">
        <f t="shared" si="6"/>
        <v>18500</v>
      </c>
      <c r="H43" s="99">
        <f t="shared" si="6"/>
        <v>10000</v>
      </c>
    </row>
    <row r="44" spans="1:10" s="118" customFormat="1" x14ac:dyDescent="0.25">
      <c r="A44" s="262">
        <v>3</v>
      </c>
      <c r="B44" s="198"/>
      <c r="C44" s="199"/>
      <c r="D44" s="196" t="s">
        <v>14</v>
      </c>
      <c r="E44" s="97">
        <f>E45</f>
        <v>0</v>
      </c>
      <c r="F44" s="97">
        <f t="shared" si="6"/>
        <v>10000</v>
      </c>
      <c r="G44" s="97">
        <f t="shared" si="6"/>
        <v>18500</v>
      </c>
      <c r="H44" s="97">
        <f t="shared" si="6"/>
        <v>10000</v>
      </c>
    </row>
    <row r="45" spans="1:10" s="118" customFormat="1" x14ac:dyDescent="0.25">
      <c r="A45" s="197">
        <v>32</v>
      </c>
      <c r="B45" s="198"/>
      <c r="C45" s="199"/>
      <c r="D45" s="88" t="s">
        <v>27</v>
      </c>
      <c r="E45" s="119">
        <v>0</v>
      </c>
      <c r="F45" s="120">
        <v>10000</v>
      </c>
      <c r="G45" s="120">
        <v>18500</v>
      </c>
      <c r="H45" s="120">
        <v>10000</v>
      </c>
    </row>
    <row r="46" spans="1:10" x14ac:dyDescent="0.25">
      <c r="A46" s="311" t="s">
        <v>47</v>
      </c>
      <c r="B46" s="312"/>
      <c r="C46" s="313"/>
      <c r="D46" s="72" t="s">
        <v>48</v>
      </c>
      <c r="E46" s="67" t="e">
        <f>#REF!</f>
        <v>#REF!</v>
      </c>
      <c r="F46" s="99">
        <f>F47+F51</f>
        <v>1100163</v>
      </c>
      <c r="G46" s="99">
        <f>G47+G51</f>
        <v>1252400</v>
      </c>
      <c r="H46" s="99" t="e">
        <f>#REF!</f>
        <v>#REF!</v>
      </c>
      <c r="J46" s="75"/>
    </row>
    <row r="47" spans="1:10" x14ac:dyDescent="0.25">
      <c r="A47" s="262">
        <v>3</v>
      </c>
      <c r="B47" s="64"/>
      <c r="C47" s="65"/>
      <c r="D47" s="62" t="s">
        <v>14</v>
      </c>
      <c r="E47" s="66">
        <f>E48+E49+E50</f>
        <v>1048212.7493529763</v>
      </c>
      <c r="F47" s="97">
        <f>F48+F49+F50</f>
        <v>1070163</v>
      </c>
      <c r="G47" s="97">
        <f>G48+G49+G50</f>
        <v>1222400</v>
      </c>
      <c r="H47" s="97">
        <f>H48+H49+H50</f>
        <v>1070163</v>
      </c>
    </row>
    <row r="48" spans="1:10" x14ac:dyDescent="0.25">
      <c r="A48" s="63">
        <v>31</v>
      </c>
      <c r="B48" s="64"/>
      <c r="C48" s="65"/>
      <c r="D48" s="61" t="s">
        <v>15</v>
      </c>
      <c r="E48" s="58">
        <f>7678821.16/7.5345</f>
        <v>1019154.7096688566</v>
      </c>
      <c r="F48" s="59">
        <v>1031588</v>
      </c>
      <c r="G48" s="120">
        <v>1182000</v>
      </c>
      <c r="H48" s="120">
        <v>1031588</v>
      </c>
    </row>
    <row r="49" spans="1:8" x14ac:dyDescent="0.25">
      <c r="A49" s="63">
        <v>32</v>
      </c>
      <c r="B49" s="64"/>
      <c r="C49" s="65"/>
      <c r="D49" s="61" t="s">
        <v>27</v>
      </c>
      <c r="E49" s="58">
        <f>218937.8/7.5345</f>
        <v>29058.039684119714</v>
      </c>
      <c r="F49" s="59">
        <v>28575</v>
      </c>
      <c r="G49" s="120">
        <v>30400</v>
      </c>
      <c r="H49" s="120">
        <v>28575</v>
      </c>
    </row>
    <row r="50" spans="1:8" s="118" customFormat="1" ht="25.5" x14ac:dyDescent="0.25">
      <c r="A50" s="197">
        <v>37</v>
      </c>
      <c r="B50" s="198"/>
      <c r="C50" s="199"/>
      <c r="D50" s="88" t="s">
        <v>131</v>
      </c>
      <c r="E50" s="119">
        <v>0</v>
      </c>
      <c r="F50" s="120">
        <v>10000</v>
      </c>
      <c r="G50" s="120">
        <v>10000</v>
      </c>
      <c r="H50" s="120">
        <v>10000</v>
      </c>
    </row>
    <row r="51" spans="1:8" ht="25.5" x14ac:dyDescent="0.25">
      <c r="A51" s="262">
        <v>4</v>
      </c>
      <c r="B51" s="64"/>
      <c r="C51" s="65"/>
      <c r="D51" s="62" t="s">
        <v>16</v>
      </c>
      <c r="E51" s="66">
        <f>E52</f>
        <v>21287.303736147056</v>
      </c>
      <c r="F51" s="97">
        <f>F52</f>
        <v>30000</v>
      </c>
      <c r="G51" s="97">
        <f>G52</f>
        <v>30000</v>
      </c>
      <c r="H51" s="97">
        <f>H52</f>
        <v>20000</v>
      </c>
    </row>
    <row r="52" spans="1:8" ht="25.5" x14ac:dyDescent="0.25">
      <c r="A52" s="63">
        <v>42</v>
      </c>
      <c r="B52" s="64"/>
      <c r="C52" s="65"/>
      <c r="D52" s="61" t="s">
        <v>37</v>
      </c>
      <c r="E52" s="58">
        <f>160389.19/7.5345</f>
        <v>21287.303736147056</v>
      </c>
      <c r="F52" s="59">
        <v>30000</v>
      </c>
      <c r="G52" s="120">
        <v>30000</v>
      </c>
      <c r="H52" s="120">
        <v>20000</v>
      </c>
    </row>
    <row r="53" spans="1:8" s="118" customFormat="1" ht="25.5" x14ac:dyDescent="0.25">
      <c r="A53" s="311" t="s">
        <v>53</v>
      </c>
      <c r="B53" s="312"/>
      <c r="C53" s="313"/>
      <c r="D53" s="101" t="s">
        <v>54</v>
      </c>
      <c r="E53" s="99">
        <f>E54</f>
        <v>0</v>
      </c>
      <c r="F53" s="99">
        <f t="shared" ref="F53:H53" si="7">F54</f>
        <v>15000</v>
      </c>
      <c r="G53" s="99">
        <f t="shared" si="7"/>
        <v>15800</v>
      </c>
      <c r="H53" s="99">
        <f t="shared" si="7"/>
        <v>15000</v>
      </c>
    </row>
    <row r="54" spans="1:8" s="118" customFormat="1" x14ac:dyDescent="0.25">
      <c r="A54" s="262">
        <v>3</v>
      </c>
      <c r="B54" s="198"/>
      <c r="C54" s="199"/>
      <c r="D54" s="196" t="s">
        <v>14</v>
      </c>
      <c r="E54" s="97">
        <f>E57</f>
        <v>0</v>
      </c>
      <c r="F54" s="97">
        <f>F57</f>
        <v>15000</v>
      </c>
      <c r="G54" s="97">
        <f>G57+G56+G55</f>
        <v>15800</v>
      </c>
      <c r="H54" s="97">
        <f>H57</f>
        <v>15000</v>
      </c>
    </row>
    <row r="55" spans="1:8" s="118" customFormat="1" x14ac:dyDescent="0.25">
      <c r="A55" s="282">
        <v>31</v>
      </c>
      <c r="B55" s="283"/>
      <c r="C55" s="284"/>
      <c r="D55" s="88" t="s">
        <v>15</v>
      </c>
      <c r="E55" s="97"/>
      <c r="F55" s="119"/>
      <c r="G55" s="119">
        <v>500</v>
      </c>
      <c r="H55" s="97"/>
    </row>
    <row r="56" spans="1:8" s="269" customFormat="1" x14ac:dyDescent="0.25">
      <c r="A56" s="264">
        <v>32</v>
      </c>
      <c r="B56" s="265"/>
      <c r="C56" s="266"/>
      <c r="D56" s="88" t="s">
        <v>27</v>
      </c>
      <c r="E56" s="119"/>
      <c r="F56" s="119">
        <v>0</v>
      </c>
      <c r="G56" s="119">
        <v>300</v>
      </c>
      <c r="H56" s="119"/>
    </row>
    <row r="57" spans="1:8" s="118" customFormat="1" ht="29.25" customHeight="1" x14ac:dyDescent="0.25">
      <c r="A57" s="197">
        <v>37</v>
      </c>
      <c r="B57" s="198"/>
      <c r="C57" s="199"/>
      <c r="D57" s="88" t="s">
        <v>131</v>
      </c>
      <c r="E57" s="119">
        <v>0</v>
      </c>
      <c r="F57" s="120">
        <v>15000</v>
      </c>
      <c r="G57" s="120">
        <v>15000</v>
      </c>
      <c r="H57" s="120">
        <v>15000</v>
      </c>
    </row>
    <row r="58" spans="1:8" s="118" customFormat="1" ht="18.75" customHeight="1" x14ac:dyDescent="0.25">
      <c r="A58" s="311" t="s">
        <v>148</v>
      </c>
      <c r="B58" s="312"/>
      <c r="C58" s="313"/>
      <c r="D58" s="101" t="s">
        <v>149</v>
      </c>
      <c r="E58" s="99" t="e">
        <f>E61</f>
        <v>#REF!</v>
      </c>
      <c r="F58" s="99">
        <f>F61+F59</f>
        <v>0</v>
      </c>
      <c r="G58" s="99">
        <f>G59</f>
        <v>2000</v>
      </c>
      <c r="H58" s="120"/>
    </row>
    <row r="59" spans="1:8" s="118" customFormat="1" ht="15" customHeight="1" x14ac:dyDescent="0.25">
      <c r="A59" s="276">
        <v>3</v>
      </c>
      <c r="B59" s="279"/>
      <c r="C59" s="280"/>
      <c r="D59" s="277" t="s">
        <v>14</v>
      </c>
      <c r="E59" s="97">
        <f>E60</f>
        <v>0</v>
      </c>
      <c r="F59" s="73">
        <f>F60</f>
        <v>0</v>
      </c>
      <c r="G59" s="73">
        <f>G60</f>
        <v>2000</v>
      </c>
      <c r="H59" s="120"/>
    </row>
    <row r="60" spans="1:8" s="118" customFormat="1" ht="15" customHeight="1" x14ac:dyDescent="0.25">
      <c r="A60" s="278">
        <v>32</v>
      </c>
      <c r="B60" s="279"/>
      <c r="C60" s="280"/>
      <c r="D60" s="88" t="s">
        <v>27</v>
      </c>
      <c r="E60" s="119">
        <v>0</v>
      </c>
      <c r="F60" s="120">
        <v>0</v>
      </c>
      <c r="G60" s="120">
        <v>2000</v>
      </c>
      <c r="H60" s="120"/>
    </row>
    <row r="61" spans="1:8" s="118" customFormat="1" x14ac:dyDescent="0.25">
      <c r="A61" s="314" t="s">
        <v>139</v>
      </c>
      <c r="B61" s="315"/>
      <c r="C61" s="316"/>
      <c r="D61" s="257" t="s">
        <v>138</v>
      </c>
      <c r="E61" s="147" t="e">
        <f>E62</f>
        <v>#REF!</v>
      </c>
      <c r="F61" s="143">
        <f>F62+F66+F70</f>
        <v>0</v>
      </c>
      <c r="G61" s="143">
        <f>G62+G66+G70</f>
        <v>51875</v>
      </c>
      <c r="H61" s="120"/>
    </row>
    <row r="62" spans="1:8" s="118" customFormat="1" ht="29.25" customHeight="1" x14ac:dyDescent="0.25">
      <c r="A62" s="311" t="s">
        <v>53</v>
      </c>
      <c r="B62" s="312"/>
      <c r="C62" s="313"/>
      <c r="D62" s="101" t="s">
        <v>54</v>
      </c>
      <c r="E62" s="99" t="e">
        <f>#REF!</f>
        <v>#REF!</v>
      </c>
      <c r="F62" s="99">
        <f>F63</f>
        <v>0</v>
      </c>
      <c r="G62" s="99">
        <f>G63</f>
        <v>19725</v>
      </c>
      <c r="H62" s="120"/>
    </row>
    <row r="63" spans="1:8" s="118" customFormat="1" x14ac:dyDescent="0.25">
      <c r="A63" s="262">
        <v>3</v>
      </c>
      <c r="B63" s="260"/>
      <c r="C63" s="261"/>
      <c r="D63" s="258" t="s">
        <v>14</v>
      </c>
      <c r="E63" s="97">
        <f>E64+E65</f>
        <v>11546.125157608334</v>
      </c>
      <c r="F63" s="73">
        <v>0</v>
      </c>
      <c r="G63" s="73">
        <f>G64+G65</f>
        <v>19725</v>
      </c>
      <c r="H63" s="120"/>
    </row>
    <row r="64" spans="1:8" s="118" customFormat="1" x14ac:dyDescent="0.25">
      <c r="A64" s="259">
        <v>31</v>
      </c>
      <c r="B64" s="260"/>
      <c r="C64" s="261"/>
      <c r="D64" s="88" t="s">
        <v>15</v>
      </c>
      <c r="E64" s="119">
        <f>46203.14/7.5345</f>
        <v>6132.2104983741456</v>
      </c>
      <c r="F64" s="120">
        <v>0</v>
      </c>
      <c r="G64" s="120">
        <v>18225</v>
      </c>
      <c r="H64" s="120"/>
    </row>
    <row r="65" spans="1:10" s="118" customFormat="1" x14ac:dyDescent="0.25">
      <c r="A65" s="259">
        <v>32</v>
      </c>
      <c r="B65" s="260"/>
      <c r="C65" s="261"/>
      <c r="D65" s="88" t="s">
        <v>27</v>
      </c>
      <c r="E65" s="119">
        <f>40791.14/7.5345</f>
        <v>5413.9146592341895</v>
      </c>
      <c r="F65" s="120">
        <v>0</v>
      </c>
      <c r="G65" s="120">
        <v>1500</v>
      </c>
      <c r="H65" s="120"/>
    </row>
    <row r="66" spans="1:10" s="118" customFormat="1" ht="15" customHeight="1" x14ac:dyDescent="0.25">
      <c r="A66" s="311" t="s">
        <v>43</v>
      </c>
      <c r="B66" s="312"/>
      <c r="C66" s="313"/>
      <c r="D66" s="101" t="s">
        <v>12</v>
      </c>
      <c r="E66" s="99">
        <v>0</v>
      </c>
      <c r="F66" s="68">
        <f>F67</f>
        <v>0</v>
      </c>
      <c r="G66" s="68">
        <f>G67</f>
        <v>13150</v>
      </c>
      <c r="H66" s="71">
        <v>0</v>
      </c>
    </row>
    <row r="67" spans="1:10" s="118" customFormat="1" x14ac:dyDescent="0.25">
      <c r="A67" s="262">
        <v>3</v>
      </c>
      <c r="B67" s="265"/>
      <c r="C67" s="266"/>
      <c r="D67" s="263" t="s">
        <v>14</v>
      </c>
      <c r="E67" s="97">
        <f>E68+E69</f>
        <v>11546.125157608334</v>
      </c>
      <c r="F67" s="73">
        <v>0</v>
      </c>
      <c r="G67" s="73">
        <f>G68+G69</f>
        <v>13150</v>
      </c>
      <c r="H67" s="120"/>
    </row>
    <row r="68" spans="1:10" s="118" customFormat="1" x14ac:dyDescent="0.25">
      <c r="A68" s="264">
        <v>31</v>
      </c>
      <c r="B68" s="265"/>
      <c r="C68" s="266"/>
      <c r="D68" s="88" t="s">
        <v>15</v>
      </c>
      <c r="E68" s="119">
        <f>46203.14/7.5345</f>
        <v>6132.2104983741456</v>
      </c>
      <c r="F68" s="120">
        <v>0</v>
      </c>
      <c r="G68" s="120">
        <v>12150</v>
      </c>
      <c r="H68" s="120"/>
    </row>
    <row r="69" spans="1:10" s="118" customFormat="1" x14ac:dyDescent="0.25">
      <c r="A69" s="264">
        <v>32</v>
      </c>
      <c r="B69" s="265"/>
      <c r="C69" s="266"/>
      <c r="D69" s="88" t="s">
        <v>27</v>
      </c>
      <c r="E69" s="119">
        <f>40791.14/7.5345</f>
        <v>5413.9146592341895</v>
      </c>
      <c r="F69" s="120">
        <v>0</v>
      </c>
      <c r="G69" s="120">
        <v>1000</v>
      </c>
      <c r="H69" s="120"/>
    </row>
    <row r="70" spans="1:10" s="118" customFormat="1" ht="25.5" customHeight="1" x14ac:dyDescent="0.25">
      <c r="A70" s="311" t="s">
        <v>44</v>
      </c>
      <c r="B70" s="312"/>
      <c r="C70" s="313"/>
      <c r="D70" s="101" t="s">
        <v>45</v>
      </c>
      <c r="E70" s="99">
        <f>E71</f>
        <v>5413.9146592341895</v>
      </c>
      <c r="F70" s="99">
        <f>F71+F73</f>
        <v>0</v>
      </c>
      <c r="G70" s="99">
        <f>G71+G73</f>
        <v>19000</v>
      </c>
      <c r="H70" s="99">
        <f>H71</f>
        <v>0</v>
      </c>
    </row>
    <row r="71" spans="1:10" s="118" customFormat="1" x14ac:dyDescent="0.25">
      <c r="A71" s="262">
        <v>3</v>
      </c>
      <c r="B71" s="265"/>
      <c r="C71" s="266"/>
      <c r="D71" s="263" t="s">
        <v>14</v>
      </c>
      <c r="E71" s="97">
        <f>E72+E73</f>
        <v>5413.9146592341895</v>
      </c>
      <c r="F71" s="73">
        <v>0</v>
      </c>
      <c r="G71" s="73">
        <f>G72</f>
        <v>17000</v>
      </c>
      <c r="H71" s="120"/>
    </row>
    <row r="72" spans="1:10" s="118" customFormat="1" x14ac:dyDescent="0.25">
      <c r="A72" s="264">
        <v>32</v>
      </c>
      <c r="B72" s="265"/>
      <c r="C72" s="266"/>
      <c r="D72" s="88" t="s">
        <v>27</v>
      </c>
      <c r="E72" s="119">
        <f>40791.14/7.5345</f>
        <v>5413.9146592341895</v>
      </c>
      <c r="F72" s="120">
        <v>0</v>
      </c>
      <c r="G72" s="120">
        <v>17000</v>
      </c>
      <c r="H72" s="120"/>
    </row>
    <row r="73" spans="1:10" s="118" customFormat="1" ht="25.5" x14ac:dyDescent="0.25">
      <c r="A73" s="262">
        <v>4</v>
      </c>
      <c r="B73" s="265"/>
      <c r="C73" s="266"/>
      <c r="D73" s="263" t="s">
        <v>16</v>
      </c>
      <c r="E73" s="97">
        <v>0</v>
      </c>
      <c r="F73" s="98">
        <v>0</v>
      </c>
      <c r="G73" s="98">
        <f>G74</f>
        <v>2000</v>
      </c>
      <c r="H73" s="98">
        <v>0</v>
      </c>
    </row>
    <row r="74" spans="1:10" s="118" customFormat="1" ht="25.5" x14ac:dyDescent="0.25">
      <c r="A74" s="264">
        <v>42</v>
      </c>
      <c r="B74" s="265"/>
      <c r="C74" s="266"/>
      <c r="D74" s="88" t="s">
        <v>37</v>
      </c>
      <c r="E74" s="119">
        <v>0</v>
      </c>
      <c r="F74" s="120">
        <v>0</v>
      </c>
      <c r="G74" s="120">
        <v>2000</v>
      </c>
      <c r="H74" s="120">
        <v>0</v>
      </c>
    </row>
    <row r="75" spans="1:10" s="118" customFormat="1" ht="25.5" hidden="1" customHeight="1" x14ac:dyDescent="0.25">
      <c r="A75" s="314" t="s">
        <v>62</v>
      </c>
      <c r="B75" s="315"/>
      <c r="C75" s="316"/>
      <c r="D75" s="162" t="s">
        <v>63</v>
      </c>
      <c r="E75" s="147" t="e">
        <f>E76</f>
        <v>#REF!</v>
      </c>
      <c r="F75" s="143">
        <v>0</v>
      </c>
      <c r="G75" s="143">
        <v>0</v>
      </c>
      <c r="H75" s="77">
        <v>0</v>
      </c>
    </row>
    <row r="76" spans="1:10" s="118" customFormat="1" ht="15" hidden="1" customHeight="1" x14ac:dyDescent="0.25">
      <c r="A76" s="311" t="s">
        <v>61</v>
      </c>
      <c r="B76" s="312"/>
      <c r="C76" s="313"/>
      <c r="D76" s="101" t="s">
        <v>64</v>
      </c>
      <c r="E76" s="99" t="e">
        <f>#REF!</f>
        <v>#REF!</v>
      </c>
      <c r="F76" s="99">
        <f>F77+F80</f>
        <v>0</v>
      </c>
      <c r="G76" s="99">
        <f>G77+G80</f>
        <v>0</v>
      </c>
      <c r="H76" s="99" t="e">
        <f>#REF!</f>
        <v>#REF!</v>
      </c>
      <c r="I76"/>
      <c r="J76"/>
    </row>
    <row r="77" spans="1:10" s="118" customFormat="1" hidden="1" x14ac:dyDescent="0.25">
      <c r="A77" s="262">
        <v>3</v>
      </c>
      <c r="B77" s="165"/>
      <c r="C77" s="166"/>
      <c r="D77" s="163" t="s">
        <v>14</v>
      </c>
      <c r="E77" s="97">
        <f>E78+E79</f>
        <v>11546.125157608334</v>
      </c>
      <c r="F77" s="73">
        <v>0</v>
      </c>
      <c r="G77" s="73">
        <v>0</v>
      </c>
      <c r="H77" s="73">
        <v>0</v>
      </c>
      <c r="I77"/>
      <c r="J77"/>
    </row>
    <row r="78" spans="1:10" s="118" customFormat="1" hidden="1" x14ac:dyDescent="0.25">
      <c r="A78" s="164">
        <v>31</v>
      </c>
      <c r="B78" s="165"/>
      <c r="C78" s="166"/>
      <c r="D78" s="88" t="s">
        <v>15</v>
      </c>
      <c r="E78" s="119">
        <f>46203.14/7.5345</f>
        <v>6132.2104983741456</v>
      </c>
      <c r="F78" s="120">
        <v>0</v>
      </c>
      <c r="G78" s="120">
        <v>0</v>
      </c>
      <c r="H78" s="120">
        <v>0</v>
      </c>
      <c r="I78"/>
      <c r="J78"/>
    </row>
    <row r="79" spans="1:10" s="118" customFormat="1" hidden="1" x14ac:dyDescent="0.25">
      <c r="A79" s="164">
        <v>32</v>
      </c>
      <c r="B79" s="165"/>
      <c r="C79" s="166"/>
      <c r="D79" s="88" t="s">
        <v>27</v>
      </c>
      <c r="E79" s="119">
        <f>40791.14/7.5345</f>
        <v>5413.9146592341895</v>
      </c>
      <c r="F79" s="120">
        <v>0</v>
      </c>
      <c r="G79" s="120">
        <v>0</v>
      </c>
      <c r="H79" s="120">
        <v>0</v>
      </c>
      <c r="I79"/>
      <c r="J79"/>
    </row>
    <row r="80" spans="1:10" s="118" customFormat="1" ht="25.5" hidden="1" x14ac:dyDescent="0.25">
      <c r="A80" s="262">
        <v>4</v>
      </c>
      <c r="B80" s="165"/>
      <c r="C80" s="166"/>
      <c r="D80" s="163" t="s">
        <v>16</v>
      </c>
      <c r="E80" s="97">
        <v>0</v>
      </c>
      <c r="F80" s="98">
        <v>0</v>
      </c>
      <c r="G80" s="98">
        <v>0</v>
      </c>
      <c r="H80" s="98">
        <v>0</v>
      </c>
    </row>
    <row r="81" spans="1:8" s="81" customFormat="1" ht="25.5" hidden="1" x14ac:dyDescent="0.25">
      <c r="A81" s="92">
        <v>42</v>
      </c>
      <c r="B81" s="93"/>
      <c r="C81" s="94"/>
      <c r="D81" s="88" t="s">
        <v>37</v>
      </c>
      <c r="E81" s="82">
        <v>0</v>
      </c>
      <c r="F81" s="83">
        <v>0</v>
      </c>
      <c r="G81" s="83">
        <v>0</v>
      </c>
      <c r="H81" s="83">
        <v>0</v>
      </c>
    </row>
    <row r="82" spans="1:8" x14ac:dyDescent="0.25">
      <c r="A82" s="314" t="s">
        <v>68</v>
      </c>
      <c r="B82" s="315"/>
      <c r="C82" s="316"/>
      <c r="D82" s="69" t="s">
        <v>65</v>
      </c>
      <c r="E82" s="96">
        <f>E83+E86+E91</f>
        <v>3701.5555113146193</v>
      </c>
      <c r="F82" s="147">
        <f>F83+F86+F91</f>
        <v>7963</v>
      </c>
      <c r="G82" s="147">
        <f>G83+G86+G91</f>
        <v>82832.13</v>
      </c>
      <c r="H82" s="147" t="e">
        <f>H83+H86+H91</f>
        <v>#REF!</v>
      </c>
    </row>
    <row r="83" spans="1:8" ht="15" customHeight="1" x14ac:dyDescent="0.25">
      <c r="A83" s="311" t="s">
        <v>43</v>
      </c>
      <c r="B83" s="312"/>
      <c r="C83" s="313"/>
      <c r="D83" s="72" t="s">
        <v>12</v>
      </c>
      <c r="E83" s="67">
        <v>0</v>
      </c>
      <c r="F83" s="68">
        <v>0</v>
      </c>
      <c r="G83" s="68">
        <f>G84</f>
        <v>15000</v>
      </c>
      <c r="H83" s="71">
        <v>0</v>
      </c>
    </row>
    <row r="84" spans="1:8" ht="25.5" x14ac:dyDescent="0.25">
      <c r="A84" s="262">
        <v>4</v>
      </c>
      <c r="B84" s="64"/>
      <c r="C84" s="65"/>
      <c r="D84" s="62" t="s">
        <v>16</v>
      </c>
      <c r="E84" s="66">
        <v>0</v>
      </c>
      <c r="F84" s="59">
        <v>0</v>
      </c>
      <c r="G84" s="59">
        <f>G85</f>
        <v>15000</v>
      </c>
      <c r="H84" s="60">
        <v>0</v>
      </c>
    </row>
    <row r="85" spans="1:8" ht="25.5" x14ac:dyDescent="0.25">
      <c r="A85" s="63">
        <v>42</v>
      </c>
      <c r="B85" s="64"/>
      <c r="C85" s="65"/>
      <c r="D85" s="61" t="s">
        <v>37</v>
      </c>
      <c r="E85" s="58">
        <v>0</v>
      </c>
      <c r="F85" s="59">
        <v>0</v>
      </c>
      <c r="G85" s="287">
        <v>15000</v>
      </c>
      <c r="H85" s="60">
        <v>0</v>
      </c>
    </row>
    <row r="86" spans="1:8" x14ac:dyDescent="0.25">
      <c r="A86" s="311" t="s">
        <v>58</v>
      </c>
      <c r="B86" s="312"/>
      <c r="C86" s="313"/>
      <c r="D86" s="72" t="s">
        <v>59</v>
      </c>
      <c r="E86" s="67">
        <f>E87</f>
        <v>3701.5555113146193</v>
      </c>
      <c r="F86" s="99">
        <f>F87+F89</f>
        <v>7963</v>
      </c>
      <c r="G86" s="99">
        <f>G87+G89</f>
        <v>30963</v>
      </c>
      <c r="H86" s="99" t="e">
        <f>#REF!</f>
        <v>#REF!</v>
      </c>
    </row>
    <row r="87" spans="1:8" x14ac:dyDescent="0.25">
      <c r="A87" s="262">
        <v>3</v>
      </c>
      <c r="B87" s="64"/>
      <c r="C87" s="65"/>
      <c r="D87" s="62" t="s">
        <v>14</v>
      </c>
      <c r="E87" s="66">
        <f>E88</f>
        <v>3701.5555113146193</v>
      </c>
      <c r="F87" s="73">
        <f>F88</f>
        <v>5963</v>
      </c>
      <c r="G87" s="73">
        <f>G88</f>
        <v>5963</v>
      </c>
      <c r="H87" s="73">
        <f>H88</f>
        <v>5963</v>
      </c>
    </row>
    <row r="88" spans="1:8" x14ac:dyDescent="0.25">
      <c r="A88" s="63">
        <v>32</v>
      </c>
      <c r="B88" s="64"/>
      <c r="C88" s="65"/>
      <c r="D88" s="61" t="s">
        <v>27</v>
      </c>
      <c r="E88" s="58">
        <f>27889.37/7.5345</f>
        <v>3701.5555113146193</v>
      </c>
      <c r="F88" s="59">
        <v>5963</v>
      </c>
      <c r="G88" s="120">
        <v>5963</v>
      </c>
      <c r="H88" s="120">
        <v>5963</v>
      </c>
    </row>
    <row r="89" spans="1:8" s="118" customFormat="1" ht="25.5" x14ac:dyDescent="0.25">
      <c r="A89" s="262">
        <v>4</v>
      </c>
      <c r="B89" s="208"/>
      <c r="C89" s="209"/>
      <c r="D89" s="206" t="s">
        <v>16</v>
      </c>
      <c r="E89" s="97">
        <v>0</v>
      </c>
      <c r="F89" s="98">
        <f>F90</f>
        <v>2000</v>
      </c>
      <c r="G89" s="98">
        <f>G90</f>
        <v>25000</v>
      </c>
      <c r="H89" s="98">
        <f>H90</f>
        <v>2000</v>
      </c>
    </row>
    <row r="90" spans="1:8" s="118" customFormat="1" ht="25.5" x14ac:dyDescent="0.25">
      <c r="A90" s="207">
        <v>42</v>
      </c>
      <c r="B90" s="208"/>
      <c r="C90" s="209"/>
      <c r="D90" s="88" t="s">
        <v>37</v>
      </c>
      <c r="E90" s="119">
        <v>0</v>
      </c>
      <c r="F90" s="120">
        <v>2000</v>
      </c>
      <c r="G90" s="120">
        <v>25000</v>
      </c>
      <c r="H90" s="120">
        <v>2000</v>
      </c>
    </row>
    <row r="91" spans="1:8" s="118" customFormat="1" ht="17.25" customHeight="1" x14ac:dyDescent="0.25">
      <c r="A91" s="311" t="s">
        <v>140</v>
      </c>
      <c r="B91" s="312"/>
      <c r="C91" s="313"/>
      <c r="D91" s="101" t="s">
        <v>141</v>
      </c>
      <c r="E91" s="99">
        <f>E92</f>
        <v>0</v>
      </c>
      <c r="F91" s="99">
        <f>F92</f>
        <v>0</v>
      </c>
      <c r="G91" s="99">
        <f>G92</f>
        <v>36869.129999999997</v>
      </c>
      <c r="H91" s="99">
        <f>H92</f>
        <v>0</v>
      </c>
    </row>
    <row r="92" spans="1:8" s="170" customFormat="1" ht="25.5" x14ac:dyDescent="0.25">
      <c r="A92" s="270">
        <v>4</v>
      </c>
      <c r="B92" s="273"/>
      <c r="C92" s="274"/>
      <c r="D92" s="271" t="s">
        <v>16</v>
      </c>
      <c r="E92" s="212">
        <f>E93</f>
        <v>0</v>
      </c>
      <c r="F92" s="211">
        <v>0</v>
      </c>
      <c r="G92" s="211">
        <f>G93</f>
        <v>36869.129999999997</v>
      </c>
      <c r="H92" s="211">
        <v>0</v>
      </c>
    </row>
    <row r="93" spans="1:8" s="170" customFormat="1" ht="25.5" x14ac:dyDescent="0.25">
      <c r="A93" s="272">
        <v>42</v>
      </c>
      <c r="B93" s="273"/>
      <c r="C93" s="274"/>
      <c r="D93" s="88" t="s">
        <v>37</v>
      </c>
      <c r="E93" s="179">
        <v>0</v>
      </c>
      <c r="F93" s="190">
        <v>0</v>
      </c>
      <c r="G93" s="190">
        <v>36869.129999999997</v>
      </c>
      <c r="H93" s="190">
        <v>0</v>
      </c>
    </row>
    <row r="94" spans="1:8" s="81" customFormat="1" ht="25.5" x14ac:dyDescent="0.25">
      <c r="A94" s="314" t="s">
        <v>72</v>
      </c>
      <c r="B94" s="315"/>
      <c r="C94" s="316"/>
      <c r="D94" s="100" t="s">
        <v>73</v>
      </c>
      <c r="E94" s="96">
        <f>E95</f>
        <v>1609.5308248722542</v>
      </c>
      <c r="F94" s="147">
        <f>F95</f>
        <v>20000</v>
      </c>
      <c r="G94" s="147">
        <f>G95</f>
        <v>36482.9</v>
      </c>
      <c r="H94" s="147">
        <f>H95</f>
        <v>2000</v>
      </c>
    </row>
    <row r="95" spans="1:8" s="81" customFormat="1" x14ac:dyDescent="0.25">
      <c r="A95" s="311" t="s">
        <v>74</v>
      </c>
      <c r="B95" s="312"/>
      <c r="C95" s="313"/>
      <c r="D95" s="101" t="s">
        <v>75</v>
      </c>
      <c r="E95" s="99">
        <f>E98</f>
        <v>1609.5308248722542</v>
      </c>
      <c r="F95" s="99">
        <f>F98+F96</f>
        <v>20000</v>
      </c>
      <c r="G95" s="99">
        <f>G98+G96</f>
        <v>36482.9</v>
      </c>
      <c r="H95" s="99">
        <f>H98+H96</f>
        <v>2000</v>
      </c>
    </row>
    <row r="96" spans="1:8" s="118" customFormat="1" x14ac:dyDescent="0.25">
      <c r="A96" s="262">
        <v>3</v>
      </c>
      <c r="B96" s="215"/>
      <c r="C96" s="216"/>
      <c r="D96" s="213" t="s">
        <v>14</v>
      </c>
      <c r="E96" s="97">
        <f>E97</f>
        <v>0</v>
      </c>
      <c r="F96" s="73">
        <f>F97</f>
        <v>10000</v>
      </c>
      <c r="G96" s="73">
        <f>G97</f>
        <v>6482.9</v>
      </c>
      <c r="H96" s="73">
        <f>H97</f>
        <v>1000</v>
      </c>
    </row>
    <row r="97" spans="1:8" s="118" customFormat="1" x14ac:dyDescent="0.25">
      <c r="A97" s="214">
        <v>32</v>
      </c>
      <c r="B97" s="215"/>
      <c r="C97" s="216"/>
      <c r="D97" s="88" t="s">
        <v>27</v>
      </c>
      <c r="E97" s="119">
        <v>0</v>
      </c>
      <c r="F97" s="120">
        <v>10000</v>
      </c>
      <c r="G97" s="120">
        <f>11482.9-5000</f>
        <v>6482.9</v>
      </c>
      <c r="H97" s="120">
        <v>1000</v>
      </c>
    </row>
    <row r="98" spans="1:8" s="81" customFormat="1" ht="25.5" x14ac:dyDescent="0.25">
      <c r="A98" s="262">
        <v>4</v>
      </c>
      <c r="B98" s="93"/>
      <c r="C98" s="94"/>
      <c r="D98" s="89" t="s">
        <v>16</v>
      </c>
      <c r="E98" s="97">
        <f>E99</f>
        <v>1609.5308248722542</v>
      </c>
      <c r="F98" s="97">
        <f>F99</f>
        <v>10000</v>
      </c>
      <c r="G98" s="97">
        <f>G99</f>
        <v>30000</v>
      </c>
      <c r="H98" s="97">
        <f>H99</f>
        <v>1000</v>
      </c>
    </row>
    <row r="99" spans="1:8" s="81" customFormat="1" ht="25.5" customHeight="1" x14ac:dyDescent="0.25">
      <c r="A99" s="92">
        <v>42</v>
      </c>
      <c r="B99" s="93"/>
      <c r="C99" s="94"/>
      <c r="D99" s="88" t="s">
        <v>37</v>
      </c>
      <c r="E99" s="82">
        <f>12127.01/7.5345</f>
        <v>1609.5308248722542</v>
      </c>
      <c r="F99" s="83">
        <v>10000</v>
      </c>
      <c r="G99" s="83">
        <v>30000</v>
      </c>
      <c r="H99" s="84">
        <v>1000</v>
      </c>
    </row>
    <row r="100" spans="1:8" ht="25.5" customHeight="1" x14ac:dyDescent="0.25">
      <c r="A100" s="314" t="s">
        <v>152</v>
      </c>
      <c r="B100" s="315"/>
      <c r="C100" s="316"/>
      <c r="D100" s="100" t="s">
        <v>69</v>
      </c>
      <c r="E100" s="96">
        <f>E101</f>
        <v>26122.444754131</v>
      </c>
      <c r="F100" s="147">
        <f>F101</f>
        <v>40295</v>
      </c>
      <c r="G100" s="147">
        <f t="shared" ref="F100:H101" si="8">G101</f>
        <v>41300</v>
      </c>
      <c r="H100" s="147">
        <f t="shared" si="8"/>
        <v>40295</v>
      </c>
    </row>
    <row r="101" spans="1:8" ht="25.5" customHeight="1" x14ac:dyDescent="0.25">
      <c r="A101" s="311" t="s">
        <v>70</v>
      </c>
      <c r="B101" s="312"/>
      <c r="C101" s="313"/>
      <c r="D101" s="101" t="s">
        <v>71</v>
      </c>
      <c r="E101" s="99">
        <f>E102</f>
        <v>26122.444754131</v>
      </c>
      <c r="F101" s="99">
        <f t="shared" si="8"/>
        <v>40295</v>
      </c>
      <c r="G101" s="99">
        <f t="shared" si="8"/>
        <v>41300</v>
      </c>
      <c r="H101" s="99">
        <f t="shared" si="8"/>
        <v>40295</v>
      </c>
    </row>
    <row r="102" spans="1:8" x14ac:dyDescent="0.25">
      <c r="A102" s="262">
        <v>3</v>
      </c>
      <c r="B102" s="93"/>
      <c r="C102" s="94"/>
      <c r="D102" s="89" t="s">
        <v>14</v>
      </c>
      <c r="E102" s="97">
        <f>E103+E104</f>
        <v>26122.444754131</v>
      </c>
      <c r="F102" s="97">
        <f>F103+F104</f>
        <v>40295</v>
      </c>
      <c r="G102" s="97">
        <f>G103+G104</f>
        <v>41300</v>
      </c>
      <c r="H102" s="97">
        <f>H103+H104</f>
        <v>40295</v>
      </c>
    </row>
    <row r="103" spans="1:8" x14ac:dyDescent="0.25">
      <c r="A103" s="92">
        <v>31</v>
      </c>
      <c r="B103" s="93"/>
      <c r="C103" s="94"/>
      <c r="D103" s="88" t="s">
        <v>15</v>
      </c>
      <c r="E103" s="82">
        <f>187092.14/7.5345</f>
        <v>24831.394253102397</v>
      </c>
      <c r="F103" s="83">
        <v>37295</v>
      </c>
      <c r="G103" s="83">
        <v>37300</v>
      </c>
      <c r="H103" s="83">
        <v>37295</v>
      </c>
    </row>
    <row r="104" spans="1:8" x14ac:dyDescent="0.25">
      <c r="A104" s="92">
        <v>32</v>
      </c>
      <c r="B104" s="93"/>
      <c r="C104" s="94"/>
      <c r="D104" s="88" t="s">
        <v>27</v>
      </c>
      <c r="E104" s="82">
        <f>9727.42/7.5345</f>
        <v>1291.0505010286017</v>
      </c>
      <c r="F104" s="83">
        <v>3000</v>
      </c>
      <c r="G104" s="83">
        <v>4000</v>
      </c>
      <c r="H104" s="83">
        <v>3000</v>
      </c>
    </row>
    <row r="106" spans="1:8" x14ac:dyDescent="0.25">
      <c r="E106" s="75"/>
    </row>
    <row r="107" spans="1:8" x14ac:dyDescent="0.25">
      <c r="E107" s="75"/>
    </row>
  </sheetData>
  <mergeCells count="40">
    <mergeCell ref="A35:C35"/>
    <mergeCell ref="A11:C11"/>
    <mergeCell ref="A12:C12"/>
    <mergeCell ref="A13:C13"/>
    <mergeCell ref="A14:C14"/>
    <mergeCell ref="A15:C15"/>
    <mergeCell ref="A23:C23"/>
    <mergeCell ref="A26:C26"/>
    <mergeCell ref="A29:C29"/>
    <mergeCell ref="A32:C32"/>
    <mergeCell ref="A18:C18"/>
    <mergeCell ref="A16:C16"/>
    <mergeCell ref="A3:H3"/>
    <mergeCell ref="A9:C9"/>
    <mergeCell ref="A10:C10"/>
    <mergeCell ref="A5:C5"/>
    <mergeCell ref="A6:C6"/>
    <mergeCell ref="A7:C7"/>
    <mergeCell ref="A8:C8"/>
    <mergeCell ref="A1:I1"/>
    <mergeCell ref="A36:C36"/>
    <mergeCell ref="A83:C83"/>
    <mergeCell ref="A86:C86"/>
    <mergeCell ref="A39:C39"/>
    <mergeCell ref="A46:C46"/>
    <mergeCell ref="A76:C76"/>
    <mergeCell ref="A75:C75"/>
    <mergeCell ref="A82:C82"/>
    <mergeCell ref="A53:C53"/>
    <mergeCell ref="A43:C43"/>
    <mergeCell ref="A61:C61"/>
    <mergeCell ref="A66:C66"/>
    <mergeCell ref="A70:C70"/>
    <mergeCell ref="A62:C62"/>
    <mergeCell ref="A58:C58"/>
    <mergeCell ref="A101:C101"/>
    <mergeCell ref="A100:C100"/>
    <mergeCell ref="A94:C94"/>
    <mergeCell ref="A95:C95"/>
    <mergeCell ref="A91:C91"/>
  </mergeCells>
  <pageMargins left="0.7" right="0.7" top="0.75" bottom="0.75" header="0.3" footer="0.3"/>
  <pageSetup paperSize="9" scale="7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E0B8C-33A7-4D03-B5B8-BE8F0471CB0E}">
  <sheetPr>
    <pageSetUpPr fitToPage="1"/>
  </sheetPr>
  <dimension ref="A1:J56"/>
  <sheetViews>
    <sheetView zoomScaleNormal="100" workbookViewId="0">
      <selection activeCell="E12" sqref="E12"/>
    </sheetView>
  </sheetViews>
  <sheetFormatPr defaultRowHeight="15" x14ac:dyDescent="0.25"/>
  <cols>
    <col min="1" max="1" width="7.42578125" style="118" customWidth="1"/>
    <col min="2" max="2" width="8.42578125" style="118" customWidth="1"/>
    <col min="3" max="3" width="5.42578125" style="118" bestFit="1" customWidth="1"/>
    <col min="4" max="4" width="30.140625" style="118" bestFit="1" customWidth="1"/>
    <col min="5" max="5" width="21.140625" style="118" bestFit="1" customWidth="1"/>
    <col min="6" max="6" width="14.85546875" style="118" customWidth="1"/>
    <col min="7" max="7" width="15.28515625" style="118" customWidth="1"/>
    <col min="8" max="9" width="14.42578125" style="118" bestFit="1" customWidth="1"/>
    <col min="10" max="16384" width="9.140625" style="118"/>
  </cols>
  <sheetData>
    <row r="1" spans="1:10" ht="42" customHeight="1" x14ac:dyDescent="0.25">
      <c r="A1" s="295" t="s">
        <v>93</v>
      </c>
      <c r="B1" s="295"/>
      <c r="C1" s="295"/>
      <c r="D1" s="295"/>
      <c r="E1" s="295"/>
      <c r="F1" s="295"/>
      <c r="G1" s="295"/>
      <c r="H1" s="295"/>
      <c r="I1" s="295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0" ht="15.75" x14ac:dyDescent="0.25">
      <c r="A3" s="295" t="s">
        <v>24</v>
      </c>
      <c r="B3" s="295"/>
      <c r="C3" s="295"/>
      <c r="D3" s="295"/>
      <c r="E3" s="295"/>
      <c r="F3" s="295"/>
      <c r="G3" s="295"/>
      <c r="H3" s="297"/>
      <c r="I3" s="297"/>
    </row>
    <row r="4" spans="1:10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0" ht="18" customHeight="1" x14ac:dyDescent="0.25">
      <c r="A5" s="295" t="s">
        <v>7</v>
      </c>
      <c r="B5" s="296"/>
      <c r="C5" s="296"/>
      <c r="D5" s="296"/>
      <c r="E5" s="296"/>
      <c r="F5" s="296"/>
      <c r="G5" s="296"/>
      <c r="H5" s="296"/>
      <c r="I5" s="296"/>
    </row>
    <row r="6" spans="1:10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10" ht="15.75" x14ac:dyDescent="0.25">
      <c r="A7" s="295" t="s">
        <v>1</v>
      </c>
      <c r="B7" s="310"/>
      <c r="C7" s="310"/>
      <c r="D7" s="310"/>
      <c r="E7" s="310"/>
      <c r="F7" s="310"/>
      <c r="G7" s="310"/>
      <c r="H7" s="310"/>
      <c r="I7" s="310"/>
    </row>
    <row r="8" spans="1:10" ht="18" x14ac:dyDescent="0.25">
      <c r="A8" s="5"/>
      <c r="B8" s="5"/>
      <c r="C8" s="5"/>
      <c r="D8" s="5"/>
      <c r="E8" s="5"/>
      <c r="F8" s="5"/>
      <c r="G8" s="5"/>
      <c r="H8" s="6"/>
      <c r="I8" s="6"/>
    </row>
    <row r="9" spans="1:10" ht="25.5" x14ac:dyDescent="0.25">
      <c r="A9" s="21" t="s">
        <v>8</v>
      </c>
      <c r="B9" s="20" t="s">
        <v>9</v>
      </c>
      <c r="C9" s="20" t="s">
        <v>10</v>
      </c>
      <c r="D9" s="20" t="s">
        <v>6</v>
      </c>
      <c r="E9" s="20" t="s">
        <v>89</v>
      </c>
      <c r="F9" s="21" t="s">
        <v>90</v>
      </c>
      <c r="G9" s="21" t="s">
        <v>91</v>
      </c>
      <c r="H9" s="21" t="s">
        <v>34</v>
      </c>
      <c r="I9" s="21" t="s">
        <v>94</v>
      </c>
    </row>
    <row r="10" spans="1:10" ht="15.75" customHeight="1" x14ac:dyDescent="0.25">
      <c r="A10" s="130">
        <v>6</v>
      </c>
      <c r="B10" s="112"/>
      <c r="C10" s="111"/>
      <c r="D10" s="130" t="s">
        <v>11</v>
      </c>
      <c r="E10" s="114"/>
      <c r="F10" s="115"/>
      <c r="G10" s="116"/>
      <c r="H10" s="117"/>
      <c r="I10" s="116"/>
    </row>
    <row r="11" spans="1:10" x14ac:dyDescent="0.25">
      <c r="A11" s="123"/>
      <c r="B11" s="133"/>
      <c r="C11" s="124">
        <v>522</v>
      </c>
      <c r="D11" s="124" t="s">
        <v>76</v>
      </c>
      <c r="E11" s="147">
        <v>952906</v>
      </c>
      <c r="F11" s="140">
        <v>1021966</v>
      </c>
      <c r="G11" s="140">
        <v>1021966</v>
      </c>
      <c r="H11" s="140">
        <v>1021966</v>
      </c>
      <c r="I11" s="140">
        <v>1021966</v>
      </c>
    </row>
    <row r="12" spans="1:10" ht="25.5" x14ac:dyDescent="0.25">
      <c r="A12" s="109"/>
      <c r="B12" s="113">
        <v>63</v>
      </c>
      <c r="C12" s="110"/>
      <c r="D12" s="110" t="s">
        <v>35</v>
      </c>
      <c r="E12" s="119">
        <v>952906</v>
      </c>
      <c r="F12" s="120">
        <v>1021966</v>
      </c>
      <c r="G12" s="120">
        <v>1021966</v>
      </c>
      <c r="H12" s="120">
        <v>1021966</v>
      </c>
      <c r="I12" s="120">
        <v>1021966</v>
      </c>
      <c r="J12" s="105"/>
    </row>
    <row r="13" spans="1:10" ht="45" x14ac:dyDescent="0.25">
      <c r="A13" s="123"/>
      <c r="B13" s="123"/>
      <c r="C13" s="124">
        <v>529</v>
      </c>
      <c r="D13" s="124" t="s">
        <v>85</v>
      </c>
      <c r="E13" s="142">
        <v>2292</v>
      </c>
      <c r="F13" s="142">
        <v>9291</v>
      </c>
      <c r="G13" s="142">
        <v>9291</v>
      </c>
      <c r="H13" s="142">
        <v>9291</v>
      </c>
      <c r="I13" s="142">
        <v>9291</v>
      </c>
      <c r="J13" s="102"/>
    </row>
    <row r="14" spans="1:10" ht="25.5" x14ac:dyDescent="0.25">
      <c r="A14" s="109"/>
      <c r="B14" s="113">
        <v>63</v>
      </c>
      <c r="C14" s="110"/>
      <c r="D14" s="110" t="s">
        <v>35</v>
      </c>
      <c r="E14" s="119">
        <v>2292</v>
      </c>
      <c r="F14" s="120">
        <v>9290.59</v>
      </c>
      <c r="G14" s="120">
        <v>9290.59</v>
      </c>
      <c r="H14" s="120">
        <v>9290.59</v>
      </c>
      <c r="I14" s="120">
        <v>9290.59</v>
      </c>
      <c r="J14" s="102"/>
    </row>
    <row r="15" spans="1:10" x14ac:dyDescent="0.25">
      <c r="A15" s="137"/>
      <c r="B15" s="138"/>
      <c r="C15" s="139">
        <v>571</v>
      </c>
      <c r="D15" s="139" t="s">
        <v>77</v>
      </c>
      <c r="E15" s="142">
        <v>616</v>
      </c>
      <c r="F15" s="143">
        <v>2787</v>
      </c>
      <c r="G15" s="143">
        <v>2787</v>
      </c>
      <c r="H15" s="143">
        <v>2787</v>
      </c>
      <c r="I15" s="143">
        <v>2787</v>
      </c>
    </row>
    <row r="16" spans="1:10" ht="25.5" x14ac:dyDescent="0.25">
      <c r="A16" s="109"/>
      <c r="B16" s="113">
        <v>63</v>
      </c>
      <c r="C16" s="110"/>
      <c r="D16" s="110" t="s">
        <v>35</v>
      </c>
      <c r="E16" s="119">
        <v>616</v>
      </c>
      <c r="F16" s="120">
        <v>2787</v>
      </c>
      <c r="G16" s="120">
        <v>2787</v>
      </c>
      <c r="H16" s="120">
        <v>2787</v>
      </c>
      <c r="I16" s="120">
        <v>2787</v>
      </c>
    </row>
    <row r="17" spans="1:9" ht="30" x14ac:dyDescent="0.25">
      <c r="A17" s="125"/>
      <c r="B17" s="135"/>
      <c r="C17" s="126">
        <v>523</v>
      </c>
      <c r="D17" s="128" t="s">
        <v>81</v>
      </c>
      <c r="E17" s="147">
        <v>20301</v>
      </c>
      <c r="F17" s="143">
        <v>39817</v>
      </c>
      <c r="G17" s="143">
        <v>0</v>
      </c>
      <c r="H17" s="145">
        <v>0</v>
      </c>
      <c r="I17" s="144">
        <v>0</v>
      </c>
    </row>
    <row r="18" spans="1:9" ht="25.5" x14ac:dyDescent="0.25">
      <c r="A18" s="121"/>
      <c r="B18" s="132">
        <v>63</v>
      </c>
      <c r="C18" s="122"/>
      <c r="D18" s="110" t="s">
        <v>35</v>
      </c>
      <c r="E18" s="119">
        <v>20301</v>
      </c>
      <c r="F18" s="120">
        <v>39817</v>
      </c>
      <c r="G18" s="120">
        <v>0</v>
      </c>
      <c r="H18" s="141">
        <v>0</v>
      </c>
      <c r="I18" s="120">
        <v>0</v>
      </c>
    </row>
    <row r="19" spans="1:9" x14ac:dyDescent="0.25">
      <c r="A19" s="127"/>
      <c r="B19" s="134"/>
      <c r="C19" s="127">
        <v>431</v>
      </c>
      <c r="D19" s="134" t="s">
        <v>45</v>
      </c>
      <c r="E19" s="146">
        <v>7277</v>
      </c>
      <c r="F19" s="143">
        <v>24156</v>
      </c>
      <c r="G19" s="143">
        <v>24156</v>
      </c>
      <c r="H19" s="143">
        <v>24156</v>
      </c>
      <c r="I19" s="143">
        <v>24156</v>
      </c>
    </row>
    <row r="20" spans="1:9" ht="38.25" x14ac:dyDescent="0.25">
      <c r="A20" s="121"/>
      <c r="B20" s="132">
        <v>65</v>
      </c>
      <c r="C20" s="122"/>
      <c r="D20" s="129" t="s">
        <v>78</v>
      </c>
      <c r="E20" s="107">
        <v>7277</v>
      </c>
      <c r="F20" s="106">
        <v>24156</v>
      </c>
      <c r="G20" s="106">
        <v>24156</v>
      </c>
      <c r="H20" s="106">
        <v>24156</v>
      </c>
      <c r="I20" s="106">
        <v>24156</v>
      </c>
    </row>
    <row r="21" spans="1:9" x14ac:dyDescent="0.25">
      <c r="A21" s="127"/>
      <c r="B21" s="127"/>
      <c r="C21" s="127">
        <v>621</v>
      </c>
      <c r="D21" s="128" t="s">
        <v>87</v>
      </c>
      <c r="E21" s="147">
        <v>39427</v>
      </c>
      <c r="F21" s="147">
        <v>0</v>
      </c>
      <c r="G21" s="147">
        <v>0</v>
      </c>
      <c r="H21" s="147">
        <v>0</v>
      </c>
      <c r="I21" s="147">
        <v>0</v>
      </c>
    </row>
    <row r="22" spans="1:9" x14ac:dyDescent="0.25">
      <c r="A22" s="121"/>
      <c r="B22" s="132">
        <v>922</v>
      </c>
      <c r="C22" s="122"/>
      <c r="D22" s="129" t="s">
        <v>86</v>
      </c>
      <c r="E22" s="120">
        <v>39427</v>
      </c>
      <c r="F22" s="120">
        <v>0</v>
      </c>
      <c r="G22" s="120">
        <v>0</v>
      </c>
      <c r="H22" s="120">
        <v>0</v>
      </c>
      <c r="I22" s="120">
        <v>0</v>
      </c>
    </row>
    <row r="23" spans="1:9" x14ac:dyDescent="0.25">
      <c r="A23" s="127"/>
      <c r="B23" s="134"/>
      <c r="C23" s="127">
        <v>11</v>
      </c>
      <c r="D23" s="127" t="s">
        <v>79</v>
      </c>
      <c r="E23" s="143">
        <v>74592</v>
      </c>
      <c r="F23" s="143">
        <v>48285</v>
      </c>
      <c r="G23" s="143">
        <v>48285</v>
      </c>
      <c r="H23" s="143">
        <v>48285</v>
      </c>
      <c r="I23" s="143">
        <v>48285</v>
      </c>
    </row>
    <row r="24" spans="1:9" ht="38.25" x14ac:dyDescent="0.25">
      <c r="A24" s="121"/>
      <c r="B24" s="132">
        <v>67</v>
      </c>
      <c r="C24" s="122"/>
      <c r="D24" s="129" t="s">
        <v>36</v>
      </c>
      <c r="E24" s="107">
        <v>74592</v>
      </c>
      <c r="F24" s="107">
        <v>48285</v>
      </c>
      <c r="G24" s="107">
        <v>48285</v>
      </c>
      <c r="H24" s="107">
        <v>48285</v>
      </c>
      <c r="I24" s="107">
        <v>48285</v>
      </c>
    </row>
    <row r="25" spans="1:9" x14ac:dyDescent="0.25">
      <c r="A25" s="127"/>
      <c r="B25" s="134"/>
      <c r="C25" s="127">
        <v>12</v>
      </c>
      <c r="D25" s="128" t="s">
        <v>84</v>
      </c>
      <c r="E25" s="147">
        <v>26993</v>
      </c>
      <c r="F25" s="143">
        <v>50966</v>
      </c>
      <c r="G25" s="143">
        <v>50966</v>
      </c>
      <c r="H25" s="143">
        <v>50966</v>
      </c>
      <c r="I25" s="143">
        <v>50966</v>
      </c>
    </row>
    <row r="26" spans="1:9" ht="38.25" x14ac:dyDescent="0.25">
      <c r="A26" s="121"/>
      <c r="B26" s="132">
        <v>67</v>
      </c>
      <c r="C26" s="122"/>
      <c r="D26" s="110" t="s">
        <v>83</v>
      </c>
      <c r="E26" s="119">
        <v>26993</v>
      </c>
      <c r="F26" s="106">
        <v>50966</v>
      </c>
      <c r="G26" s="106">
        <v>50966</v>
      </c>
      <c r="H26" s="106">
        <v>50966</v>
      </c>
      <c r="I26" s="106">
        <v>50966</v>
      </c>
    </row>
    <row r="27" spans="1:9" ht="15.75" x14ac:dyDescent="0.25">
      <c r="A27" s="130"/>
      <c r="B27" s="136"/>
      <c r="C27" s="131"/>
      <c r="D27" s="131" t="s">
        <v>80</v>
      </c>
      <c r="E27" s="148">
        <f>SUM(E25,E23,E21,E19,E17,E15,E13,E11)</f>
        <v>1124404</v>
      </c>
      <c r="F27" s="148">
        <v>1197267</v>
      </c>
      <c r="G27" s="148">
        <v>1157450</v>
      </c>
      <c r="H27" s="148">
        <v>1157450</v>
      </c>
      <c r="I27" s="148">
        <v>1157450</v>
      </c>
    </row>
    <row r="28" spans="1:9" x14ac:dyDescent="0.25">
      <c r="A28" s="103"/>
      <c r="B28" s="103"/>
      <c r="C28" s="74"/>
      <c r="D28" s="74"/>
      <c r="E28" s="102"/>
      <c r="F28" s="102"/>
      <c r="G28" s="102"/>
      <c r="H28" s="102"/>
      <c r="I28" s="76"/>
    </row>
    <row r="30" spans="1:9" ht="15.75" x14ac:dyDescent="0.25">
      <c r="A30" s="295" t="s">
        <v>13</v>
      </c>
      <c r="B30" s="295"/>
      <c r="C30" s="295"/>
      <c r="D30" s="295"/>
      <c r="E30" s="295"/>
      <c r="F30" s="295"/>
      <c r="G30" s="295"/>
      <c r="H30" s="295"/>
      <c r="I30" s="295"/>
    </row>
    <row r="31" spans="1:9" ht="18" x14ac:dyDescent="0.25">
      <c r="A31" s="5"/>
      <c r="B31" s="5"/>
      <c r="C31" s="5"/>
      <c r="D31" s="5"/>
      <c r="E31" s="5"/>
      <c r="F31" s="5"/>
      <c r="G31" s="5"/>
      <c r="H31" s="6"/>
      <c r="I31" s="6"/>
    </row>
    <row r="32" spans="1:9" ht="25.5" x14ac:dyDescent="0.25">
      <c r="A32" s="21" t="s">
        <v>8</v>
      </c>
      <c r="B32" s="20" t="s">
        <v>9</v>
      </c>
      <c r="C32" s="20" t="s">
        <v>10</v>
      </c>
      <c r="D32" s="20" t="s">
        <v>6</v>
      </c>
      <c r="E32" s="20" t="s">
        <v>89</v>
      </c>
      <c r="F32" s="21" t="s">
        <v>90</v>
      </c>
      <c r="G32" s="21" t="s">
        <v>91</v>
      </c>
      <c r="H32" s="21" t="s">
        <v>34</v>
      </c>
      <c r="I32" s="21" t="s">
        <v>94</v>
      </c>
    </row>
    <row r="33" spans="1:9" ht="15.75" x14ac:dyDescent="0.25">
      <c r="A33" s="130">
        <v>3</v>
      </c>
      <c r="B33" s="112"/>
      <c r="C33" s="111"/>
      <c r="D33" s="130" t="s">
        <v>14</v>
      </c>
      <c r="E33" s="114"/>
      <c r="F33" s="115"/>
      <c r="G33" s="116"/>
      <c r="H33" s="117"/>
      <c r="I33" s="116"/>
    </row>
    <row r="34" spans="1:9" x14ac:dyDescent="0.25">
      <c r="A34" s="123"/>
      <c r="B34" s="133"/>
      <c r="C34" s="124">
        <v>522</v>
      </c>
      <c r="D34" s="124" t="s">
        <v>76</v>
      </c>
      <c r="E34" s="147">
        <v>952906</v>
      </c>
      <c r="F34" s="140">
        <v>1021966</v>
      </c>
      <c r="G34" s="140">
        <v>1021966</v>
      </c>
      <c r="H34" s="140">
        <v>1021966</v>
      </c>
      <c r="I34" s="140">
        <v>1021966</v>
      </c>
    </row>
    <row r="35" spans="1:9" x14ac:dyDescent="0.25">
      <c r="A35" s="109"/>
      <c r="B35" s="113">
        <v>31</v>
      </c>
      <c r="C35" s="110"/>
      <c r="D35" s="121" t="s">
        <v>15</v>
      </c>
      <c r="E35" s="119">
        <v>914664</v>
      </c>
      <c r="F35" s="120">
        <v>995421</v>
      </c>
      <c r="G35" s="120">
        <v>995421</v>
      </c>
      <c r="H35" s="120">
        <v>995421</v>
      </c>
      <c r="I35" s="120">
        <v>995421</v>
      </c>
    </row>
    <row r="36" spans="1:9" x14ac:dyDescent="0.25">
      <c r="A36" s="109"/>
      <c r="B36" s="113">
        <v>32</v>
      </c>
      <c r="C36" s="110"/>
      <c r="D36" s="121" t="s">
        <v>27</v>
      </c>
      <c r="E36" s="119">
        <v>17952</v>
      </c>
      <c r="F36" s="119">
        <v>26545</v>
      </c>
      <c r="G36" s="119">
        <v>26545</v>
      </c>
      <c r="H36" s="119">
        <v>26545</v>
      </c>
      <c r="I36" s="119">
        <v>26545</v>
      </c>
    </row>
    <row r="37" spans="1:9" ht="25.5" x14ac:dyDescent="0.25">
      <c r="A37" s="109"/>
      <c r="B37" s="113">
        <v>42</v>
      </c>
      <c r="C37" s="110"/>
      <c r="D37" s="129" t="s">
        <v>16</v>
      </c>
      <c r="E37" s="119">
        <v>20290</v>
      </c>
      <c r="F37" s="119">
        <v>0</v>
      </c>
      <c r="G37" s="119">
        <v>0</v>
      </c>
      <c r="H37" s="119">
        <v>0</v>
      </c>
      <c r="I37" s="119">
        <v>0</v>
      </c>
    </row>
    <row r="38" spans="1:9" ht="45" x14ac:dyDescent="0.25">
      <c r="A38" s="123"/>
      <c r="B38" s="123"/>
      <c r="C38" s="124">
        <v>529</v>
      </c>
      <c r="D38" s="124" t="s">
        <v>85</v>
      </c>
      <c r="E38" s="142">
        <v>2292</v>
      </c>
      <c r="F38" s="142">
        <v>9291</v>
      </c>
      <c r="G38" s="142">
        <v>9291</v>
      </c>
      <c r="H38" s="142">
        <v>9291</v>
      </c>
      <c r="I38" s="142">
        <v>9291</v>
      </c>
    </row>
    <row r="39" spans="1:9" ht="25.5" x14ac:dyDescent="0.25">
      <c r="A39" s="109"/>
      <c r="B39" s="113">
        <v>32</v>
      </c>
      <c r="C39" s="110"/>
      <c r="D39" s="110" t="s">
        <v>35</v>
      </c>
      <c r="E39" s="119">
        <v>2292</v>
      </c>
      <c r="F39" s="120">
        <v>9291</v>
      </c>
      <c r="G39" s="120">
        <v>9291</v>
      </c>
      <c r="H39" s="120">
        <v>9291</v>
      </c>
      <c r="I39" s="120">
        <v>9291</v>
      </c>
    </row>
    <row r="40" spans="1:9" x14ac:dyDescent="0.25">
      <c r="A40" s="137"/>
      <c r="B40" s="138"/>
      <c r="C40" s="139">
        <v>571</v>
      </c>
      <c r="D40" s="139" t="s">
        <v>77</v>
      </c>
      <c r="E40" s="142">
        <v>616</v>
      </c>
      <c r="F40" s="143">
        <v>2787</v>
      </c>
      <c r="G40" s="143">
        <v>2787</v>
      </c>
      <c r="H40" s="143">
        <v>2787</v>
      </c>
      <c r="I40" s="143">
        <v>2787</v>
      </c>
    </row>
    <row r="41" spans="1:9" ht="25.5" x14ac:dyDescent="0.25">
      <c r="A41" s="109"/>
      <c r="B41" s="113">
        <v>32</v>
      </c>
      <c r="C41" s="110"/>
      <c r="D41" s="110" t="s">
        <v>35</v>
      </c>
      <c r="E41" s="119">
        <v>616</v>
      </c>
      <c r="F41" s="120">
        <v>2787</v>
      </c>
      <c r="G41" s="120">
        <v>2787</v>
      </c>
      <c r="H41" s="120">
        <v>2787</v>
      </c>
      <c r="I41" s="120">
        <v>2787</v>
      </c>
    </row>
    <row r="42" spans="1:9" ht="30" x14ac:dyDescent="0.25">
      <c r="A42" s="125"/>
      <c r="B42" s="135"/>
      <c r="C42" s="126">
        <v>523</v>
      </c>
      <c r="D42" s="128" t="s">
        <v>81</v>
      </c>
      <c r="E42" s="147">
        <v>20301</v>
      </c>
      <c r="F42" s="143">
        <v>39817</v>
      </c>
      <c r="G42" s="143">
        <v>0</v>
      </c>
      <c r="H42" s="145">
        <v>0</v>
      </c>
      <c r="I42" s="144">
        <v>0</v>
      </c>
    </row>
    <row r="43" spans="1:9" x14ac:dyDescent="0.25">
      <c r="A43" s="121"/>
      <c r="B43" s="132">
        <v>31</v>
      </c>
      <c r="C43" s="122"/>
      <c r="D43" s="121" t="s">
        <v>15</v>
      </c>
      <c r="E43" s="119">
        <v>5166</v>
      </c>
      <c r="F43" s="120">
        <v>11945</v>
      </c>
      <c r="G43" s="120">
        <v>0</v>
      </c>
      <c r="H43" s="141">
        <v>0</v>
      </c>
      <c r="I43" s="120">
        <v>0</v>
      </c>
    </row>
    <row r="44" spans="1:9" x14ac:dyDescent="0.25">
      <c r="A44" s="121"/>
      <c r="B44" s="132">
        <v>32</v>
      </c>
      <c r="C44" s="122"/>
      <c r="D44" s="121" t="s">
        <v>27</v>
      </c>
      <c r="E44" s="119">
        <v>10304</v>
      </c>
      <c r="F44" s="120">
        <v>27872</v>
      </c>
      <c r="G44" s="120">
        <v>0</v>
      </c>
      <c r="H44" s="141">
        <v>0</v>
      </c>
      <c r="I44" s="120">
        <v>0</v>
      </c>
    </row>
    <row r="45" spans="1:9" ht="25.5" x14ac:dyDescent="0.25">
      <c r="A45" s="121"/>
      <c r="B45" s="132">
        <v>42</v>
      </c>
      <c r="C45" s="122"/>
      <c r="D45" s="129" t="s">
        <v>16</v>
      </c>
      <c r="E45" s="119">
        <v>4831</v>
      </c>
      <c r="F45" s="120">
        <v>0</v>
      </c>
      <c r="G45" s="120">
        <v>0</v>
      </c>
      <c r="H45" s="141">
        <v>0</v>
      </c>
      <c r="I45" s="120">
        <v>0</v>
      </c>
    </row>
    <row r="46" spans="1:9" ht="15.75" customHeight="1" x14ac:dyDescent="0.25">
      <c r="A46" s="127"/>
      <c r="B46" s="134"/>
      <c r="C46" s="127">
        <v>431</v>
      </c>
      <c r="D46" s="134" t="s">
        <v>45</v>
      </c>
      <c r="E46" s="146">
        <v>7277</v>
      </c>
      <c r="F46" s="143">
        <v>24156</v>
      </c>
      <c r="G46" s="143">
        <v>24156</v>
      </c>
      <c r="H46" s="143">
        <v>24156</v>
      </c>
      <c r="I46" s="143">
        <v>24156</v>
      </c>
    </row>
    <row r="47" spans="1:9" x14ac:dyDescent="0.25">
      <c r="A47" s="121"/>
      <c r="B47" s="132">
        <v>32</v>
      </c>
      <c r="C47" s="122"/>
      <c r="D47" s="121" t="s">
        <v>27</v>
      </c>
      <c r="E47" s="107">
        <v>7277</v>
      </c>
      <c r="F47" s="106">
        <v>24156</v>
      </c>
      <c r="G47" s="106">
        <v>24156</v>
      </c>
      <c r="H47" s="106">
        <v>24156</v>
      </c>
      <c r="I47" s="106">
        <v>24156</v>
      </c>
    </row>
    <row r="48" spans="1:9" x14ac:dyDescent="0.25">
      <c r="A48" s="127"/>
      <c r="B48" s="127"/>
      <c r="C48" s="127">
        <v>621</v>
      </c>
      <c r="D48" s="128" t="s">
        <v>87</v>
      </c>
      <c r="E48" s="147">
        <v>39427</v>
      </c>
      <c r="F48" s="147">
        <v>0</v>
      </c>
      <c r="G48" s="147">
        <v>0</v>
      </c>
      <c r="H48" s="147">
        <v>0</v>
      </c>
      <c r="I48" s="147">
        <v>0</v>
      </c>
    </row>
    <row r="49" spans="1:9" x14ac:dyDescent="0.25">
      <c r="A49" s="121"/>
      <c r="B49" s="132">
        <v>42</v>
      </c>
      <c r="C49" s="122"/>
      <c r="D49" s="129" t="s">
        <v>86</v>
      </c>
      <c r="E49" s="120">
        <v>39427</v>
      </c>
      <c r="F49" s="120">
        <v>0</v>
      </c>
      <c r="G49" s="120">
        <v>0</v>
      </c>
      <c r="H49" s="120">
        <v>0</v>
      </c>
      <c r="I49" s="120">
        <v>0</v>
      </c>
    </row>
    <row r="50" spans="1:9" x14ac:dyDescent="0.25">
      <c r="A50" s="127"/>
      <c r="B50" s="134"/>
      <c r="C50" s="127">
        <v>11</v>
      </c>
      <c r="D50" s="127" t="s">
        <v>79</v>
      </c>
      <c r="E50" s="143">
        <v>74592</v>
      </c>
      <c r="F50" s="143">
        <v>48285</v>
      </c>
      <c r="G50" s="143">
        <v>48285</v>
      </c>
      <c r="H50" s="143">
        <v>48285</v>
      </c>
      <c r="I50" s="143">
        <v>48285</v>
      </c>
    </row>
    <row r="51" spans="1:9" x14ac:dyDescent="0.25">
      <c r="A51" s="121"/>
      <c r="B51" s="132">
        <v>31</v>
      </c>
      <c r="C51" s="121"/>
      <c r="D51" s="121" t="s">
        <v>15</v>
      </c>
      <c r="E51" s="120">
        <v>24731</v>
      </c>
      <c r="F51" s="120">
        <v>37295</v>
      </c>
      <c r="G51" s="120">
        <v>37295</v>
      </c>
      <c r="H51" s="120">
        <v>37295</v>
      </c>
      <c r="I51" s="120">
        <v>37295</v>
      </c>
    </row>
    <row r="52" spans="1:9" x14ac:dyDescent="0.25">
      <c r="A52" s="121"/>
      <c r="B52" s="132">
        <v>32</v>
      </c>
      <c r="C52" s="122"/>
      <c r="D52" s="121" t="s">
        <v>27</v>
      </c>
      <c r="E52" s="107">
        <v>49861</v>
      </c>
      <c r="F52" s="107">
        <v>10990</v>
      </c>
      <c r="G52" s="107">
        <v>10990</v>
      </c>
      <c r="H52" s="107">
        <v>10990</v>
      </c>
      <c r="I52" s="107">
        <v>10990</v>
      </c>
    </row>
    <row r="53" spans="1:9" x14ac:dyDescent="0.25">
      <c r="A53" s="127"/>
      <c r="B53" s="134"/>
      <c r="C53" s="127">
        <v>12</v>
      </c>
      <c r="D53" s="128" t="s">
        <v>84</v>
      </c>
      <c r="E53" s="147">
        <v>26993</v>
      </c>
      <c r="F53" s="143">
        <v>50966</v>
      </c>
      <c r="G53" s="143">
        <v>50966</v>
      </c>
      <c r="H53" s="143">
        <v>50966</v>
      </c>
      <c r="I53" s="143">
        <v>50966</v>
      </c>
    </row>
    <row r="54" spans="1:9" x14ac:dyDescent="0.25">
      <c r="A54" s="121"/>
      <c r="B54" s="132">
        <v>32</v>
      </c>
      <c r="C54" s="122"/>
      <c r="D54" s="121" t="s">
        <v>27</v>
      </c>
      <c r="E54" s="119">
        <v>26665</v>
      </c>
      <c r="F54" s="106">
        <v>50036</v>
      </c>
      <c r="G54" s="106">
        <v>50036</v>
      </c>
      <c r="H54" s="106">
        <v>50036</v>
      </c>
      <c r="I54" s="106">
        <v>50036</v>
      </c>
    </row>
    <row r="55" spans="1:9" x14ac:dyDescent="0.25">
      <c r="A55" s="121"/>
      <c r="B55" s="132">
        <v>34</v>
      </c>
      <c r="C55" s="122"/>
      <c r="D55" s="121" t="s">
        <v>46</v>
      </c>
      <c r="E55" s="119">
        <v>328</v>
      </c>
      <c r="F55" s="107">
        <v>930</v>
      </c>
      <c r="G55" s="107">
        <v>930</v>
      </c>
      <c r="H55" s="107">
        <v>930</v>
      </c>
      <c r="I55" s="107">
        <v>930</v>
      </c>
    </row>
    <row r="56" spans="1:9" ht="15.75" x14ac:dyDescent="0.25">
      <c r="A56" s="130"/>
      <c r="B56" s="136"/>
      <c r="C56" s="131"/>
      <c r="D56" s="131" t="s">
        <v>88</v>
      </c>
      <c r="E56" s="148">
        <v>1124404</v>
      </c>
      <c r="F56" s="148">
        <v>1197267</v>
      </c>
      <c r="G56" s="148">
        <v>1157450</v>
      </c>
      <c r="H56" s="148">
        <v>1157450</v>
      </c>
      <c r="I56" s="148">
        <v>1157450</v>
      </c>
    </row>
  </sheetData>
  <mergeCells count="5">
    <mergeCell ref="A1:I1"/>
    <mergeCell ref="A3:I3"/>
    <mergeCell ref="A5:I5"/>
    <mergeCell ref="A7:I7"/>
    <mergeCell ref="A30:I30"/>
  </mergeCells>
  <pageMargins left="0.7" right="0.7" top="0.75" bottom="0.75" header="0.3" footer="0.3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POSEBNI DIO</vt:lpstr>
      <vt:lpstr> Račun prihoda i rashoda (2)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Martina Čekić</cp:lastModifiedBy>
  <cp:lastPrinted>2024-03-14T13:50:02Z</cp:lastPrinted>
  <dcterms:created xsi:type="dcterms:W3CDTF">2022-08-12T12:51:27Z</dcterms:created>
  <dcterms:modified xsi:type="dcterms:W3CDTF">2024-03-14T13:52:55Z</dcterms:modified>
</cp:coreProperties>
</file>